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4" documentId="8_{EE3A6CC4-171F-4394-89C6-AE2DBBF8959F}" xr6:coauthVersionLast="47" xr6:coauthVersionMax="47" xr10:uidLastSave="{8ECB560B-8127-46EF-A728-79A77DA632C2}"/>
  <bookViews>
    <workbookView xWindow="52680" yWindow="-120" windowWidth="24240" windowHeight="13020" tabRatio="870" xr2:uid="{00000000-000D-0000-FFFF-FFFF00000000}"/>
  </bookViews>
  <sheets>
    <sheet name="Zonal Rates" sheetId="147" r:id="rId1"/>
    <sheet name="Sch 1 Rates" sheetId="149" r:id="rId2"/>
    <sheet name="PSO Sch 11 Rates" sheetId="232" r:id="rId3"/>
    <sheet name="SWE Sch 11 Rates" sheetId="231" r:id="rId4"/>
    <sheet name="Load WS" sheetId="153" r:id="rId5"/>
    <sheet name="PSO TCOS" sheetId="86" r:id="rId6"/>
    <sheet name="PSO WS A-1 - Plant" sheetId="186" r:id="rId7"/>
    <sheet name="PSO WS A-2 Accumulated Depn" sheetId="188" r:id="rId8"/>
    <sheet name="PSO WS B - Facility credits" sheetId="146" r:id="rId9"/>
    <sheet name="PSO WS C ADIT &amp; ADITC" sheetId="89" r:id="rId10"/>
    <sheet name="PSO WS C-1 ADIT EOY" sheetId="139" r:id="rId11"/>
    <sheet name="PSO WS C-2 ADIT BOY" sheetId="90" r:id="rId12"/>
    <sheet name="PSO WS C-3 ADIT Proration" sheetId="145" r:id="rId13"/>
    <sheet name="PSO WS C-4 Excess FIT" sheetId="193" r:id="rId14"/>
    <sheet name="PSO WS C-5 EXCESS ADIT" sheetId="233" r:id="rId15"/>
    <sheet name="PSO WS C-5-A " sheetId="235" r:id="rId16"/>
    <sheet name="PSO WS C-5-B" sheetId="236" r:id="rId17"/>
    <sheet name="PSO WS D Working Capital" sheetId="74" r:id="rId18"/>
    <sheet name="PSO WS E IPP Credits" sheetId="52" r:id="rId19"/>
    <sheet name="PSO WS F BPU ATRR" sheetId="143" r:id="rId20"/>
    <sheet name="PSO WS G BPU ATRR" sheetId="129" r:id="rId21"/>
    <sheet name="PSO WS H Rev Credits" sheetId="96" r:id="rId22"/>
    <sheet name="PSO WS I Exp Adj" sheetId="91" r:id="rId23"/>
    <sheet name="PSO WS J Misc Exp" sheetId="39" r:id="rId24"/>
    <sheet name="PSO WS K State Taxes" sheetId="94" r:id="rId25"/>
    <sheet name="PSO WS L Other Taxes" sheetId="78" r:id="rId26"/>
    <sheet name="PSO WS M - Cost of Capital" sheetId="203" r:id="rId27"/>
    <sheet name="PSO WS N Sch 11 TU" sheetId="178" r:id="rId28"/>
    <sheet name="PSO WS O Sch 9 NITS TU" sheetId="179" r:id="rId29"/>
    <sheet name="PSO WS P Sch 1 NITS TU" sheetId="196" r:id="rId30"/>
    <sheet name="PSO WS Q Interest Rate" sheetId="180" r:id="rId31"/>
    <sheet name="PSO WS R Unfunded Reserves" sheetId="189" r:id="rId32"/>
    <sheet name="PSO WS S Reg Assets" sheetId="190" r:id="rId33"/>
    <sheet name="PSO WS T - Dep Rates" sheetId="194" r:id="rId34"/>
    <sheet name="SWEPCO TCOS" sheetId="204" r:id="rId35"/>
    <sheet name="SWEPCO WS A-1 - Plant" sheetId="205" r:id="rId36"/>
    <sheet name="SWEPCO WS A-2 Accumulated Depn" sheetId="206" r:id="rId37"/>
    <sheet name="SWEPCO WS B - Facility credits" sheetId="207" r:id="rId38"/>
    <sheet name="SWEPCO WS C ADIT &amp; ADITC" sheetId="208" r:id="rId39"/>
    <sheet name="SWEPCO WS C-1 ADIT EOY" sheetId="209" r:id="rId40"/>
    <sheet name="SWEPCO WS C-2 ADIT BOY" sheetId="210" r:id="rId41"/>
    <sheet name="SWEPCO WS C-3 ADIT Proration" sheetId="211" r:id="rId42"/>
    <sheet name="SWEPCO WS C-4 Excess FIT" sheetId="212" r:id="rId43"/>
    <sheet name="SWEPCO WS C-5-A" sheetId="237" r:id="rId44"/>
    <sheet name="SWEPCO WS C-5 EXCESS ADIT" sheetId="234" r:id="rId45"/>
    <sheet name="SWEPCO WS D Working Capital" sheetId="213" r:id="rId46"/>
    <sheet name="SWEPCO WS E IPP Credits" sheetId="214" r:id="rId47"/>
    <sheet name="SWEPCO WS F BPU ATRR" sheetId="215" r:id="rId48"/>
    <sheet name="SWEPCO WS G BPU ATRR" sheetId="216" r:id="rId49"/>
    <sheet name="SWEPCO WS H Rev Credits" sheetId="217" r:id="rId50"/>
    <sheet name="SWEPCO WS I Exp Adj" sheetId="218" r:id="rId51"/>
    <sheet name="SWEPCO WS J Misc Exp" sheetId="219" r:id="rId52"/>
    <sheet name="SWEPCO WS K State Taxes" sheetId="220" r:id="rId53"/>
    <sheet name="SWEPCO WS L Other Taxes" sheetId="221" r:id="rId54"/>
    <sheet name="SWEPCO WS M - Cost of Capital" sheetId="222" r:id="rId55"/>
    <sheet name="SWEPCO WS N Sch 11 TU" sheetId="223" r:id="rId56"/>
    <sheet name="SWEPCO WS O Sch 9 NITS TU" sheetId="224" r:id="rId57"/>
    <sheet name="SWEPCO WS P Sch 1 NITS TU" sheetId="225" r:id="rId58"/>
    <sheet name="SWEPCO WS Q Interest Rate" sheetId="226" r:id="rId59"/>
    <sheet name="SWEPCO WS R Unfunded Reserves" sheetId="227" r:id="rId60"/>
    <sheet name="SWEPCO WS S Reg Assets" sheetId="228" r:id="rId61"/>
    <sheet name="SWEPCO WS T - Dep Rates" sheetId="229" r:id="rId62"/>
  </sheets>
  <definedNames>
    <definedName name="_xlnm.Print_Area" localSheetId="2">'PSO Sch 11 Rates'!$A$1:$T$56</definedName>
    <definedName name="_xlnm.Print_Area" localSheetId="13">'PSO WS C-4 Excess FIT'!$A$1:$I$53</definedName>
    <definedName name="_xlnm.Print_Area" localSheetId="14">'PSO WS C-5 EXCESS ADIT'!$A$11:$R$86</definedName>
    <definedName name="_xlnm.Print_Area" localSheetId="19">'PSO WS F BPU ATRR'!$A$1:$O$164</definedName>
    <definedName name="_xlnm.Print_Area" localSheetId="20">'PSO WS G BPU ATRR'!$A$1:$Q$166</definedName>
    <definedName name="_xlnm.Print_Area" localSheetId="26">'PSO WS M - Cost of Capital'!$A$1:$L$119</definedName>
    <definedName name="_xlnm.Print_Area" localSheetId="3">'SWE Sch 11 Rates'!$A$1:$T$97</definedName>
    <definedName name="_xlnm.Print_Area" localSheetId="44">'SWEPCO WS C-5 EXCESS ADIT'!$A$11:$R$78</definedName>
    <definedName name="_xlnm.Print_Area" localSheetId="47">'SWEPCO WS F BPU ATRR'!$A$1:$O$164</definedName>
    <definedName name="_xlnm.Print_Area" localSheetId="48">'SWEPCO WS G BPU ATRR'!$A$1:$P$166</definedName>
    <definedName name="_xlnm.Print_Titles" localSheetId="2">'PSO Sch 11 Rates'!$2:$16</definedName>
    <definedName name="_xlnm.Print_Titles" localSheetId="14">'PSO WS C-5 EXCESS ADIT'!$1:$10</definedName>
    <definedName name="_xlnm.Print_Titles" localSheetId="3">'SWE Sch 11 Rates'!$2:$16</definedName>
    <definedName name="_xlnm.Print_Titles" localSheetId="44">'SWEPCO WS C-5 EXCESS ADIT'!$1:$10</definedName>
    <definedName name="Z_3768C7C8_9953_11DA_B318_000FB55D51DC_.wvu.PrintArea" localSheetId="17" hidden="1">'PSO WS D Working Capital'!$A$9:$Q$54</definedName>
    <definedName name="Z_3768C7C8_9953_11DA_B318_000FB55D51DC_.wvu.PrintArea" localSheetId="31" hidden="1">'PSO WS R Unfunded Reserves'!#REF!</definedName>
    <definedName name="Z_3768C7C8_9953_11DA_B318_000FB55D51DC_.wvu.PrintArea" localSheetId="32" hidden="1">'PSO WS S Reg Assets'!#REF!</definedName>
    <definedName name="Z_3768C7C8_9953_11DA_B318_000FB55D51DC_.wvu.PrintArea" localSheetId="45" hidden="1">'SWEPCO WS D Working Capital'!$A$9:$Q$54</definedName>
    <definedName name="Z_3768C7C8_9953_11DA_B318_000FB55D51DC_.wvu.PrintArea" localSheetId="59" hidden="1">'SWEPCO WS R Unfunded Reserves'!#REF!</definedName>
    <definedName name="Z_3768C7C8_9953_11DA_B318_000FB55D51DC_.wvu.PrintArea" localSheetId="60" hidden="1">'SWEPCO WS S Reg Assets'!#REF!</definedName>
    <definedName name="Z_3768C7C8_9953_11DA_B318_000FB55D51DC_.wvu.PrintTitles" localSheetId="17" hidden="1">'PSO WS D Working Capital'!#REF!</definedName>
    <definedName name="Z_3768C7C8_9953_11DA_B318_000FB55D51DC_.wvu.PrintTitles" localSheetId="31" hidden="1">'PSO WS R Unfunded Reserves'!#REF!</definedName>
    <definedName name="Z_3768C7C8_9953_11DA_B318_000FB55D51DC_.wvu.PrintTitles" localSheetId="32" hidden="1">'PSO WS S Reg Assets'!#REF!</definedName>
    <definedName name="Z_3768C7C8_9953_11DA_B318_000FB55D51DC_.wvu.PrintTitles" localSheetId="45" hidden="1">'SWEPCO WS D Working Capital'!#REF!</definedName>
    <definedName name="Z_3768C7C8_9953_11DA_B318_000FB55D51DC_.wvu.PrintTitles" localSheetId="59" hidden="1">'SWEPCO WS R Unfunded Reserves'!#REF!</definedName>
    <definedName name="Z_3768C7C8_9953_11DA_B318_000FB55D51DC_.wvu.PrintTitles" localSheetId="60" hidden="1">'SWEPCO WS S Reg Assets'!#REF!</definedName>
    <definedName name="Z_3768C7C8_9953_11DA_B318_000FB55D51DC_.wvu.Rows" localSheetId="17" hidden="1">'PSO WS D Working Capital'!#REF!</definedName>
    <definedName name="Z_3768C7C8_9953_11DA_B318_000FB55D51DC_.wvu.Rows" localSheetId="31" hidden="1">'PSO WS R Unfunded Reserves'!#REF!</definedName>
    <definedName name="Z_3768C7C8_9953_11DA_B318_000FB55D51DC_.wvu.Rows" localSheetId="32" hidden="1">'PSO WS S Reg Assets'!#REF!</definedName>
    <definedName name="Z_3768C7C8_9953_11DA_B318_000FB55D51DC_.wvu.Rows" localSheetId="45" hidden="1">'SWEPCO WS D Working Capital'!#REF!</definedName>
    <definedName name="Z_3768C7C8_9953_11DA_B318_000FB55D51DC_.wvu.Rows" localSheetId="59" hidden="1">'SWEPCO WS R Unfunded Reserves'!#REF!</definedName>
    <definedName name="Z_3768C7C8_9953_11DA_B318_000FB55D51DC_.wvu.Rows" localSheetId="60" hidden="1">'SWEPCO WS S Reg Assets'!#REF!</definedName>
    <definedName name="Z_3BDD6235_B127_4929_8311_BDAF7BB89818_.wvu.PrintArea" localSheetId="17" hidden="1">'PSO WS D Working Capital'!$A$9:$Q$54</definedName>
    <definedName name="Z_3BDD6235_B127_4929_8311_BDAF7BB89818_.wvu.PrintArea" localSheetId="31" hidden="1">'PSO WS R Unfunded Reserves'!#REF!</definedName>
    <definedName name="Z_3BDD6235_B127_4929_8311_BDAF7BB89818_.wvu.PrintArea" localSheetId="32" hidden="1">'PSO WS S Reg Assets'!#REF!</definedName>
    <definedName name="Z_3BDD6235_B127_4929_8311_BDAF7BB89818_.wvu.PrintArea" localSheetId="45" hidden="1">'SWEPCO WS D Working Capital'!$A$9:$Q$54</definedName>
    <definedName name="Z_3BDD6235_B127_4929_8311_BDAF7BB89818_.wvu.PrintArea" localSheetId="59" hidden="1">'SWEPCO WS R Unfunded Reserves'!#REF!</definedName>
    <definedName name="Z_3BDD6235_B127_4929_8311_BDAF7BB89818_.wvu.PrintArea" localSheetId="60" hidden="1">'SWEPCO WS S Reg Assets'!#REF!</definedName>
    <definedName name="Z_3BDD6235_B127_4929_8311_BDAF7BB89818_.wvu.PrintTitles" localSheetId="17" hidden="1">'PSO WS D Working Capital'!#REF!</definedName>
    <definedName name="Z_3BDD6235_B127_4929_8311_BDAF7BB89818_.wvu.PrintTitles" localSheetId="31" hidden="1">'PSO WS R Unfunded Reserves'!#REF!</definedName>
    <definedName name="Z_3BDD6235_B127_4929_8311_BDAF7BB89818_.wvu.PrintTitles" localSheetId="32" hidden="1">'PSO WS S Reg Assets'!#REF!</definedName>
    <definedName name="Z_3BDD6235_B127_4929_8311_BDAF7BB89818_.wvu.PrintTitles" localSheetId="45" hidden="1">'SWEPCO WS D Working Capital'!#REF!</definedName>
    <definedName name="Z_3BDD6235_B127_4929_8311_BDAF7BB89818_.wvu.PrintTitles" localSheetId="59" hidden="1">'SWEPCO WS R Unfunded Reserves'!#REF!</definedName>
    <definedName name="Z_3BDD6235_B127_4929_8311_BDAF7BB89818_.wvu.PrintTitles" localSheetId="60" hidden="1">'SWEPCO WS S Reg Assets'!#REF!</definedName>
    <definedName name="Z_3BDD6235_B127_4929_8311_BDAF7BB89818_.wvu.Rows" localSheetId="17" hidden="1">'PSO WS D Working Capital'!#REF!</definedName>
    <definedName name="Z_3BDD6235_B127_4929_8311_BDAF7BB89818_.wvu.Rows" localSheetId="31" hidden="1">'PSO WS R Unfunded Reserves'!#REF!</definedName>
    <definedName name="Z_3BDD6235_B127_4929_8311_BDAF7BB89818_.wvu.Rows" localSheetId="32" hidden="1">'PSO WS S Reg Assets'!#REF!</definedName>
    <definedName name="Z_3BDD6235_B127_4929_8311_BDAF7BB89818_.wvu.Rows" localSheetId="45" hidden="1">'SWEPCO WS D Working Capital'!#REF!</definedName>
    <definedName name="Z_3BDD6235_B127_4929_8311_BDAF7BB89818_.wvu.Rows" localSheetId="59" hidden="1">'SWEPCO WS R Unfunded Reserves'!#REF!</definedName>
    <definedName name="Z_3BDD6235_B127_4929_8311_BDAF7BB89818_.wvu.Rows" localSheetId="60" hidden="1">'SWEPCO WS S Reg Assets'!#REF!</definedName>
    <definedName name="Z_B0241363_5C8A_48FC_89A6_56D55586BABE_.wvu.PrintArea" localSheetId="17" hidden="1">'PSO WS D Working Capital'!$A$9:$Q$54</definedName>
    <definedName name="Z_B0241363_5C8A_48FC_89A6_56D55586BABE_.wvu.PrintArea" localSheetId="31" hidden="1">'PSO WS R Unfunded Reserves'!#REF!</definedName>
    <definedName name="Z_B0241363_5C8A_48FC_89A6_56D55586BABE_.wvu.PrintArea" localSheetId="32" hidden="1">'PSO WS S Reg Assets'!#REF!</definedName>
    <definedName name="Z_B0241363_5C8A_48FC_89A6_56D55586BABE_.wvu.PrintArea" localSheetId="45" hidden="1">'SWEPCO WS D Working Capital'!$A$9:$Q$54</definedName>
    <definedName name="Z_B0241363_5C8A_48FC_89A6_56D55586BABE_.wvu.PrintArea" localSheetId="59" hidden="1">'SWEPCO WS R Unfunded Reserves'!#REF!</definedName>
    <definedName name="Z_B0241363_5C8A_48FC_89A6_56D55586BABE_.wvu.PrintArea" localSheetId="60" hidden="1">'SWEPCO WS S Reg Assets'!#REF!</definedName>
    <definedName name="Z_B0241363_5C8A_48FC_89A6_56D55586BABE_.wvu.PrintTitles" localSheetId="17" hidden="1">'PSO WS D Working Capital'!#REF!</definedName>
    <definedName name="Z_B0241363_5C8A_48FC_89A6_56D55586BABE_.wvu.PrintTitles" localSheetId="31" hidden="1">'PSO WS R Unfunded Reserves'!#REF!</definedName>
    <definedName name="Z_B0241363_5C8A_48FC_89A6_56D55586BABE_.wvu.PrintTitles" localSheetId="32" hidden="1">'PSO WS S Reg Assets'!#REF!</definedName>
    <definedName name="Z_B0241363_5C8A_48FC_89A6_56D55586BABE_.wvu.PrintTitles" localSheetId="45" hidden="1">'SWEPCO WS D Working Capital'!#REF!</definedName>
    <definedName name="Z_B0241363_5C8A_48FC_89A6_56D55586BABE_.wvu.PrintTitles" localSheetId="59" hidden="1">'SWEPCO WS R Unfunded Reserves'!#REF!</definedName>
    <definedName name="Z_B0241363_5C8A_48FC_89A6_56D55586BABE_.wvu.PrintTitles" localSheetId="60" hidden="1">'SWEPCO WS S Reg Assets'!#REF!</definedName>
    <definedName name="Z_B0241363_5C8A_48FC_89A6_56D55586BABE_.wvu.Rows" localSheetId="17" hidden="1">'PSO WS D Working Capital'!#REF!</definedName>
    <definedName name="Z_B0241363_5C8A_48FC_89A6_56D55586BABE_.wvu.Rows" localSheetId="31" hidden="1">'PSO WS R Unfunded Reserves'!#REF!</definedName>
    <definedName name="Z_B0241363_5C8A_48FC_89A6_56D55586BABE_.wvu.Rows" localSheetId="32" hidden="1">'PSO WS S Reg Assets'!#REF!</definedName>
    <definedName name="Z_B0241363_5C8A_48FC_89A6_56D55586BABE_.wvu.Rows" localSheetId="45" hidden="1">'SWEPCO WS D Working Capital'!#REF!</definedName>
    <definedName name="Z_B0241363_5C8A_48FC_89A6_56D55586BABE_.wvu.Rows" localSheetId="59" hidden="1">'SWEPCO WS R Unfunded Reserves'!#REF!</definedName>
    <definedName name="Z_B0241363_5C8A_48FC_89A6_56D55586BABE_.wvu.Rows" localSheetId="60" hidden="1">'SWEPCO WS S Reg Assets'!#REF!</definedName>
    <definedName name="Z_C0EA0F9F_7310_4201_82C9_7B8FC8DB9137_.wvu.PrintArea" localSheetId="17" hidden="1">'PSO WS D Working Capital'!$A$9:$Q$54</definedName>
    <definedName name="Z_C0EA0F9F_7310_4201_82C9_7B8FC8DB9137_.wvu.PrintArea" localSheetId="31" hidden="1">'PSO WS R Unfunded Reserves'!#REF!</definedName>
    <definedName name="Z_C0EA0F9F_7310_4201_82C9_7B8FC8DB9137_.wvu.PrintArea" localSheetId="32" hidden="1">'PSO WS S Reg Assets'!#REF!</definedName>
    <definedName name="Z_C0EA0F9F_7310_4201_82C9_7B8FC8DB9137_.wvu.PrintArea" localSheetId="45" hidden="1">'SWEPCO WS D Working Capital'!$A$9:$Q$54</definedName>
    <definedName name="Z_C0EA0F9F_7310_4201_82C9_7B8FC8DB9137_.wvu.PrintArea" localSheetId="59" hidden="1">'SWEPCO WS R Unfunded Reserves'!#REF!</definedName>
    <definedName name="Z_C0EA0F9F_7310_4201_82C9_7B8FC8DB9137_.wvu.PrintArea" localSheetId="60" hidden="1">'SWEPCO WS S Reg Assets'!#REF!</definedName>
    <definedName name="Z_C0EA0F9F_7310_4201_82C9_7B8FC8DB9137_.wvu.PrintTitles" localSheetId="17" hidden="1">'PSO WS D Working Capital'!#REF!</definedName>
    <definedName name="Z_C0EA0F9F_7310_4201_82C9_7B8FC8DB9137_.wvu.PrintTitles" localSheetId="31" hidden="1">'PSO WS R Unfunded Reserves'!#REF!</definedName>
    <definedName name="Z_C0EA0F9F_7310_4201_82C9_7B8FC8DB9137_.wvu.PrintTitles" localSheetId="32" hidden="1">'PSO WS S Reg Assets'!#REF!</definedName>
    <definedName name="Z_C0EA0F9F_7310_4201_82C9_7B8FC8DB9137_.wvu.PrintTitles" localSheetId="45" hidden="1">'SWEPCO WS D Working Capital'!#REF!</definedName>
    <definedName name="Z_C0EA0F9F_7310_4201_82C9_7B8FC8DB9137_.wvu.PrintTitles" localSheetId="59" hidden="1">'SWEPCO WS R Unfunded Reserves'!#REF!</definedName>
    <definedName name="Z_C0EA0F9F_7310_4201_82C9_7B8FC8DB9137_.wvu.PrintTitles" localSheetId="60" hidden="1">'SWEPCO WS S Reg Assets'!#REF!</definedName>
    <definedName name="Z_C0EA0F9F_7310_4201_82C9_7B8FC8DB9137_.wvu.Rows" localSheetId="17" hidden="1">'PSO WS D Working Capital'!#REF!</definedName>
    <definedName name="Z_C0EA0F9F_7310_4201_82C9_7B8FC8DB9137_.wvu.Rows" localSheetId="31" hidden="1">'PSO WS R Unfunded Reserves'!#REF!</definedName>
    <definedName name="Z_C0EA0F9F_7310_4201_82C9_7B8FC8DB9137_.wvu.Rows" localSheetId="32" hidden="1">'PSO WS S Reg Assets'!#REF!</definedName>
    <definedName name="Z_C0EA0F9F_7310_4201_82C9_7B8FC8DB9137_.wvu.Rows" localSheetId="45" hidden="1">'SWEPCO WS D Working Capital'!#REF!</definedName>
    <definedName name="Z_C0EA0F9F_7310_4201_82C9_7B8FC8DB9137_.wvu.Rows" localSheetId="59" hidden="1">'SWEPCO WS R Unfunded Reserves'!#REF!</definedName>
    <definedName name="Z_C0EA0F9F_7310_4201_82C9_7B8FC8DB9137_.wvu.Rows" localSheetId="60" hidden="1">'SWEPCO WS S Reg Assets'!#REF!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214" l="1"/>
  <c r="W51" i="232" l="1"/>
  <c r="W50" i="232"/>
  <c r="W49" i="232"/>
  <c r="W48" i="232"/>
  <c r="N140" i="210" l="1"/>
  <c r="J141" i="210"/>
  <c r="J142" i="210"/>
  <c r="J143" i="210"/>
  <c r="J144" i="210"/>
  <c r="J145" i="210"/>
  <c r="J146" i="210"/>
  <c r="J147" i="210"/>
  <c r="J148" i="210"/>
  <c r="J149" i="210"/>
  <c r="J150" i="210"/>
  <c r="J151" i="210"/>
  <c r="J152" i="210"/>
  <c r="J153" i="210"/>
  <c r="J154" i="210"/>
  <c r="J155" i="210"/>
  <c r="L139" i="210"/>
  <c r="J56" i="210"/>
  <c r="K56" i="210"/>
  <c r="M56" i="210"/>
  <c r="N56" i="210"/>
  <c r="L56" i="210"/>
  <c r="J41" i="90"/>
  <c r="K41" i="90"/>
  <c r="M41" i="90"/>
  <c r="N41" i="90"/>
  <c r="L41" i="90"/>
  <c r="E27" i="221" l="1"/>
  <c r="E16" i="221" l="1"/>
  <c r="E21" i="221"/>
  <c r="E22" i="221"/>
  <c r="E20" i="221"/>
  <c r="E19" i="221"/>
  <c r="E26" i="78" l="1"/>
  <c r="E25" i="78"/>
  <c r="E35" i="78" l="1"/>
  <c r="E20" i="78"/>
  <c r="E19" i="78"/>
  <c r="E67" i="39" l="1"/>
  <c r="G28" i="212" l="1"/>
  <c r="L123" i="209"/>
  <c r="L124" i="209"/>
  <c r="N125" i="209"/>
  <c r="N126" i="209"/>
  <c r="J127" i="209"/>
  <c r="E45" i="212"/>
  <c r="F28" i="212"/>
  <c r="L19" i="209"/>
  <c r="J161" i="210"/>
  <c r="J128" i="210"/>
  <c r="K128" i="210"/>
  <c r="L128" i="210"/>
  <c r="M128" i="210"/>
  <c r="K127" i="210"/>
  <c r="L127" i="210"/>
  <c r="M127" i="210"/>
  <c r="N127" i="210"/>
  <c r="K126" i="210"/>
  <c r="L126" i="210"/>
  <c r="M126" i="210"/>
  <c r="N126" i="210"/>
  <c r="K125" i="210"/>
  <c r="L125" i="210"/>
  <c r="M125" i="210"/>
  <c r="N125" i="210"/>
  <c r="N161" i="210" l="1"/>
  <c r="M161" i="210"/>
  <c r="L161" i="210"/>
  <c r="K161" i="210"/>
  <c r="G24" i="212" l="1"/>
  <c r="J125" i="210"/>
  <c r="J126" i="210"/>
  <c r="J127" i="210"/>
  <c r="N128" i="210"/>
  <c r="E41" i="212"/>
  <c r="F24" i="212"/>
  <c r="L19" i="210"/>
  <c r="J156" i="139" l="1"/>
  <c r="J157" i="139"/>
  <c r="L162" i="139"/>
  <c r="J164" i="139"/>
  <c r="J168" i="139"/>
  <c r="N169" i="139"/>
  <c r="N174" i="139"/>
  <c r="N175" i="139"/>
  <c r="N176" i="139"/>
  <c r="J199" i="139"/>
  <c r="J209" i="139"/>
  <c r="L215" i="139"/>
  <c r="N216" i="139"/>
  <c r="N218" i="139"/>
  <c r="N227" i="139"/>
  <c r="N228" i="139"/>
  <c r="K58" i="139"/>
  <c r="L58" i="139"/>
  <c r="M58" i="139"/>
  <c r="N58" i="139"/>
  <c r="J72" i="139"/>
  <c r="J74" i="139"/>
  <c r="J76" i="139"/>
  <c r="L79" i="139"/>
  <c r="J80" i="139"/>
  <c r="J81" i="139"/>
  <c r="L82" i="139"/>
  <c r="N84" i="139"/>
  <c r="J85" i="139"/>
  <c r="N86" i="139"/>
  <c r="L87" i="139"/>
  <c r="J89" i="139"/>
  <c r="J90" i="139"/>
  <c r="N91" i="139"/>
  <c r="N92" i="139"/>
  <c r="N93" i="139"/>
  <c r="J94" i="139"/>
  <c r="J98" i="139"/>
  <c r="J99" i="139"/>
  <c r="L107" i="139"/>
  <c r="J112" i="139"/>
  <c r="J116" i="139"/>
  <c r="J122" i="139"/>
  <c r="J123" i="139"/>
  <c r="L131" i="139"/>
  <c r="N132" i="139"/>
  <c r="N134" i="139"/>
  <c r="N145" i="139"/>
  <c r="G28" i="193"/>
  <c r="J36" i="139" s="1"/>
  <c r="L19" i="139"/>
  <c r="F28" i="193"/>
  <c r="E45" i="193"/>
  <c r="J156" i="90" l="1"/>
  <c r="L161" i="90"/>
  <c r="J163" i="90"/>
  <c r="J167" i="90"/>
  <c r="N168" i="90"/>
  <c r="N172" i="90"/>
  <c r="N173" i="90"/>
  <c r="N174" i="90"/>
  <c r="J175" i="90"/>
  <c r="J176" i="90"/>
  <c r="J177" i="90"/>
  <c r="J178" i="90"/>
  <c r="N182" i="90"/>
  <c r="J196" i="90"/>
  <c r="J199" i="90"/>
  <c r="J205" i="90"/>
  <c r="L211" i="90"/>
  <c r="N212" i="90"/>
  <c r="N214" i="90"/>
  <c r="N223" i="90"/>
  <c r="N224" i="90"/>
  <c r="J74" i="90"/>
  <c r="J76" i="90"/>
  <c r="J78" i="90"/>
  <c r="L81" i="90"/>
  <c r="J82" i="90"/>
  <c r="J83" i="90"/>
  <c r="L84" i="90"/>
  <c r="N86" i="90"/>
  <c r="J87" i="90"/>
  <c r="N88" i="90"/>
  <c r="J90" i="90"/>
  <c r="J91" i="90"/>
  <c r="N92" i="90"/>
  <c r="N93" i="90"/>
  <c r="N94" i="90"/>
  <c r="J95" i="90"/>
  <c r="J99" i="90"/>
  <c r="J100" i="90"/>
  <c r="L107" i="90"/>
  <c r="J112" i="90"/>
  <c r="J116" i="90"/>
  <c r="J121" i="90"/>
  <c r="J122" i="90"/>
  <c r="L131" i="90"/>
  <c r="N132" i="90"/>
  <c r="N134" i="90"/>
  <c r="N143" i="90"/>
  <c r="N144" i="90"/>
  <c r="G24" i="193"/>
  <c r="L19" i="90"/>
  <c r="F24" i="193"/>
  <c r="E41" i="193"/>
  <c r="B3" i="153" l="1"/>
  <c r="I38" i="228" l="1"/>
  <c r="B17" i="228" l="1"/>
  <c r="B16" i="228"/>
  <c r="B15" i="228"/>
  <c r="I18" i="228" l="1"/>
  <c r="U95" i="231" l="1"/>
  <c r="U54" i="232" l="1"/>
  <c r="G20" i="212" l="1"/>
  <c r="F20" i="212"/>
  <c r="J114" i="90" l="1"/>
  <c r="G20" i="193" l="1"/>
  <c r="F20" i="193"/>
  <c r="J186" i="209" l="1"/>
  <c r="J147" i="209"/>
  <c r="J130" i="209"/>
  <c r="J129" i="209"/>
  <c r="J128" i="209"/>
  <c r="J122" i="209"/>
  <c r="J117" i="209"/>
  <c r="J75" i="209"/>
  <c r="J222" i="90" l="1"/>
  <c r="J221" i="90"/>
  <c r="J220" i="90"/>
  <c r="J219" i="90"/>
  <c r="J218" i="90"/>
  <c r="J217" i="90"/>
  <c r="J216" i="90"/>
  <c r="J215" i="90"/>
  <c r="J213" i="90"/>
  <c r="J209" i="90"/>
  <c r="J208" i="90"/>
  <c r="J207" i="90"/>
  <c r="J206" i="90"/>
  <c r="J202" i="90"/>
  <c r="J198" i="90"/>
  <c r="J197" i="90"/>
  <c r="J183" i="90"/>
  <c r="L166" i="90"/>
  <c r="L165" i="90"/>
  <c r="J164" i="90"/>
  <c r="L162" i="90"/>
  <c r="L160" i="90"/>
  <c r="L159" i="90"/>
  <c r="L158" i="90"/>
  <c r="L157" i="90"/>
  <c r="L155" i="90"/>
  <c r="L154" i="90"/>
  <c r="J142" i="90"/>
  <c r="J141" i="90"/>
  <c r="J140" i="90"/>
  <c r="J139" i="90"/>
  <c r="J138" i="90"/>
  <c r="J137" i="90"/>
  <c r="J136" i="90"/>
  <c r="J135" i="90"/>
  <c r="J133" i="90"/>
  <c r="J130" i="90"/>
  <c r="J129" i="90"/>
  <c r="J128" i="90"/>
  <c r="J127" i="90"/>
  <c r="J126" i="90"/>
  <c r="J125" i="90"/>
  <c r="J124" i="90"/>
  <c r="J123" i="90"/>
  <c r="J120" i="90"/>
  <c r="J119" i="90"/>
  <c r="J118" i="90"/>
  <c r="J117" i="90"/>
  <c r="J115" i="90"/>
  <c r="J113" i="90"/>
  <c r="J111" i="90"/>
  <c r="J110" i="90"/>
  <c r="J109" i="90"/>
  <c r="J108" i="90"/>
  <c r="J106" i="90"/>
  <c r="J105" i="90"/>
  <c r="J104" i="90"/>
  <c r="J103" i="90"/>
  <c r="J102" i="90"/>
  <c r="J101" i="90"/>
  <c r="J98" i="90"/>
  <c r="J97" i="90"/>
  <c r="L96" i="90"/>
  <c r="J89" i="90"/>
  <c r="L85" i="90"/>
  <c r="L80" i="90"/>
  <c r="L79" i="90"/>
  <c r="L77" i="90"/>
  <c r="L75" i="90"/>
  <c r="L73" i="90"/>
  <c r="J210" i="90" l="1"/>
  <c r="J226" i="139" l="1"/>
  <c r="J225" i="139"/>
  <c r="J224" i="139"/>
  <c r="J223" i="139"/>
  <c r="J222" i="139"/>
  <c r="J221" i="139"/>
  <c r="J220" i="139"/>
  <c r="J219" i="139"/>
  <c r="J217" i="139"/>
  <c r="J213" i="139"/>
  <c r="J212" i="139"/>
  <c r="J211" i="139"/>
  <c r="J210" i="139"/>
  <c r="J206" i="139"/>
  <c r="J203" i="139"/>
  <c r="J202" i="139"/>
  <c r="L201" i="139"/>
  <c r="J200" i="139"/>
  <c r="J185" i="139"/>
  <c r="N184" i="139"/>
  <c r="L180" i="139"/>
  <c r="L179" i="139"/>
  <c r="L178" i="139"/>
  <c r="J177" i="139"/>
  <c r="L167" i="139"/>
  <c r="L166" i="139"/>
  <c r="J165" i="139"/>
  <c r="L163" i="139"/>
  <c r="L161" i="139"/>
  <c r="L160" i="139"/>
  <c r="L159" i="139"/>
  <c r="L158" i="139"/>
  <c r="L155" i="139"/>
  <c r="N144" i="139"/>
  <c r="J143" i="139"/>
  <c r="J142" i="139"/>
  <c r="J141" i="139"/>
  <c r="J140" i="139"/>
  <c r="J139" i="139"/>
  <c r="J138" i="139"/>
  <c r="J137" i="139"/>
  <c r="J136" i="139"/>
  <c r="J135" i="139"/>
  <c r="J133" i="139"/>
  <c r="J130" i="139"/>
  <c r="J129" i="139"/>
  <c r="J128" i="139"/>
  <c r="J127" i="139"/>
  <c r="J126" i="139"/>
  <c r="J125" i="139"/>
  <c r="J124" i="139"/>
  <c r="J121" i="139"/>
  <c r="J120" i="139"/>
  <c r="J119" i="139"/>
  <c r="J118" i="139"/>
  <c r="J117" i="139"/>
  <c r="J115" i="139"/>
  <c r="J114" i="139"/>
  <c r="J113" i="139"/>
  <c r="J111" i="139"/>
  <c r="J110" i="139"/>
  <c r="J109" i="139"/>
  <c r="J108" i="139"/>
  <c r="J106" i="139"/>
  <c r="J105" i="139"/>
  <c r="J104" i="139"/>
  <c r="J103" i="139"/>
  <c r="J102" i="139"/>
  <c r="J101" i="139"/>
  <c r="J100" i="139"/>
  <c r="J97" i="139"/>
  <c r="J96" i="139"/>
  <c r="L95" i="139"/>
  <c r="J88" i="139"/>
  <c r="L83" i="139"/>
  <c r="L78" i="139"/>
  <c r="L77" i="139"/>
  <c r="L75" i="139"/>
  <c r="L73" i="139"/>
  <c r="L71" i="139"/>
  <c r="J58" i="139" l="1"/>
  <c r="M49" i="213" l="1"/>
  <c r="B67" i="39" l="1"/>
  <c r="R13" i="129" l="1"/>
  <c r="N225" i="90" l="1"/>
  <c r="M225" i="90"/>
  <c r="K225" i="90"/>
  <c r="J225" i="90"/>
  <c r="N229" i="139"/>
  <c r="M229" i="139"/>
  <c r="K229" i="139"/>
  <c r="J229" i="139"/>
  <c r="N196" i="210"/>
  <c r="M196" i="210"/>
  <c r="K196" i="210"/>
  <c r="J196" i="210"/>
  <c r="N194" i="209"/>
  <c r="M194" i="209"/>
  <c r="K194" i="209"/>
  <c r="J194" i="209"/>
  <c r="K95" i="231" l="1"/>
  <c r="R13" i="216" l="1"/>
  <c r="L195" i="209" l="1"/>
  <c r="K195" i="209"/>
  <c r="L230" i="139"/>
  <c r="K230" i="139"/>
  <c r="L229" i="139" l="1"/>
  <c r="L194" i="209"/>
  <c r="J43" i="209" l="1"/>
  <c r="H195" i="209"/>
  <c r="J195" i="209" s="1"/>
  <c r="H44" i="209"/>
  <c r="J44" i="209" s="1"/>
  <c r="H230" i="139"/>
  <c r="J230" i="139" s="1"/>
  <c r="H28" i="139" l="1"/>
  <c r="J27" i="139"/>
  <c r="G44" i="186" l="1"/>
  <c r="M28" i="139" l="1"/>
  <c r="L28" i="139"/>
  <c r="K28" i="139"/>
  <c r="J28" i="139"/>
  <c r="M27" i="139"/>
  <c r="L27" i="139"/>
  <c r="N190" i="90"/>
  <c r="M190" i="90"/>
  <c r="L190" i="90"/>
  <c r="K190" i="90"/>
  <c r="J190" i="90"/>
  <c r="J20" i="210"/>
  <c r="K20" i="210"/>
  <c r="L20" i="210"/>
  <c r="M20" i="210"/>
  <c r="N20" i="210"/>
  <c r="J107" i="210" l="1"/>
  <c r="K107" i="210"/>
  <c r="L107" i="210"/>
  <c r="M107" i="210"/>
  <c r="N107" i="210"/>
  <c r="J108" i="210"/>
  <c r="K108" i="210"/>
  <c r="L108" i="210"/>
  <c r="M108" i="210"/>
  <c r="N108" i="210"/>
  <c r="J109" i="210"/>
  <c r="K109" i="210"/>
  <c r="L109" i="210"/>
  <c r="M109" i="210"/>
  <c r="N109" i="210"/>
  <c r="J110" i="210"/>
  <c r="K110" i="210"/>
  <c r="L110" i="210"/>
  <c r="M110" i="210"/>
  <c r="N110" i="210"/>
  <c r="J111" i="210"/>
  <c r="K111" i="210"/>
  <c r="L111" i="210"/>
  <c r="M111" i="210"/>
  <c r="N111" i="210"/>
  <c r="J112" i="210"/>
  <c r="K112" i="210"/>
  <c r="L112" i="210"/>
  <c r="M112" i="210"/>
  <c r="N112" i="210"/>
  <c r="J113" i="210"/>
  <c r="K113" i="210"/>
  <c r="L113" i="210"/>
  <c r="M113" i="210"/>
  <c r="N113" i="210"/>
  <c r="J114" i="210"/>
  <c r="K114" i="210"/>
  <c r="L114" i="210"/>
  <c r="M114" i="210"/>
  <c r="N114" i="210"/>
  <c r="J72" i="210"/>
  <c r="K72" i="210"/>
  <c r="L72" i="210"/>
  <c r="M72" i="210"/>
  <c r="N72" i="210"/>
  <c r="N58" i="210"/>
  <c r="M58" i="210"/>
  <c r="L58" i="210"/>
  <c r="K58" i="210"/>
  <c r="J58" i="210"/>
  <c r="J182" i="209"/>
  <c r="K182" i="209"/>
  <c r="L182" i="209"/>
  <c r="M182" i="209"/>
  <c r="N182" i="209"/>
  <c r="J155" i="209"/>
  <c r="K155" i="209"/>
  <c r="L155" i="209"/>
  <c r="M155" i="209"/>
  <c r="N155" i="209"/>
  <c r="J156" i="209"/>
  <c r="K156" i="209"/>
  <c r="L156" i="209"/>
  <c r="M156" i="209"/>
  <c r="N156" i="209"/>
  <c r="J99" i="209"/>
  <c r="K99" i="209"/>
  <c r="L99" i="209"/>
  <c r="M99" i="209"/>
  <c r="N99" i="209"/>
  <c r="J81" i="209"/>
  <c r="K81" i="209"/>
  <c r="L81" i="209"/>
  <c r="M81" i="209"/>
  <c r="N81" i="209"/>
  <c r="J79" i="209"/>
  <c r="K79" i="209"/>
  <c r="L79" i="209"/>
  <c r="M79" i="209"/>
  <c r="N79" i="209"/>
  <c r="H45" i="210"/>
  <c r="H197" i="210" l="1"/>
  <c r="L196" i="210"/>
  <c r="H46" i="210"/>
  <c r="J44" i="210"/>
  <c r="H237" i="139"/>
  <c r="D20" i="208" l="1"/>
  <c r="H29" i="139"/>
  <c r="D19" i="89" s="1"/>
  <c r="L225" i="90"/>
  <c r="L29" i="90"/>
  <c r="H30" i="90"/>
  <c r="J9" i="178" l="1"/>
  <c r="J11" i="179"/>
  <c r="L20" i="217" l="1"/>
  <c r="F46" i="237" l="1"/>
  <c r="D46" i="237"/>
  <c r="G44" i="237"/>
  <c r="I42" i="237"/>
  <c r="J41" i="237"/>
  <c r="I41" i="237"/>
  <c r="F35" i="234" s="1"/>
  <c r="F40" i="237"/>
  <c r="D39" i="237"/>
  <c r="G39" i="237" s="1"/>
  <c r="H35" i="237"/>
  <c r="G35" i="237"/>
  <c r="I25" i="237"/>
  <c r="I24" i="237"/>
  <c r="D22" i="237"/>
  <c r="M19" i="237"/>
  <c r="F18" i="237"/>
  <c r="I18" i="237" s="1"/>
  <c r="F14" i="234" s="1"/>
  <c r="H16" i="237"/>
  <c r="D16" i="237"/>
  <c r="A15" i="237"/>
  <c r="A16" i="237" s="1"/>
  <c r="A17" i="237" s="1"/>
  <c r="A18" i="237" s="1"/>
  <c r="A19" i="237" s="1"/>
  <c r="A20" i="237" s="1"/>
  <c r="A21" i="237" s="1"/>
  <c r="A22" i="237" s="1"/>
  <c r="A23" i="237" s="1"/>
  <c r="A24" i="237" s="1"/>
  <c r="A25" i="237" s="1"/>
  <c r="A26" i="237" s="1"/>
  <c r="A27" i="237" s="1"/>
  <c r="A28" i="237" s="1"/>
  <c r="A29" i="237" s="1"/>
  <c r="A35" i="237" s="1"/>
  <c r="A36" i="237" s="1"/>
  <c r="A37" i="237" s="1"/>
  <c r="A38" i="237" s="1"/>
  <c r="A39" i="237" s="1"/>
  <c r="A40" i="237" s="1"/>
  <c r="A41" i="237" s="1"/>
  <c r="A42" i="237" s="1"/>
  <c r="A43" i="237" s="1"/>
  <c r="A44" i="237" s="1"/>
  <c r="A45" i="237" s="1"/>
  <c r="A46" i="237" s="1"/>
  <c r="J29" i="237" l="1"/>
  <c r="J46" i="237"/>
  <c r="K25" i="237"/>
  <c r="F17" i="234"/>
  <c r="K42" i="237"/>
  <c r="F36" i="234"/>
  <c r="K24" i="237"/>
  <c r="F16" i="234"/>
  <c r="H27" i="237"/>
  <c r="H29" i="237" s="1"/>
  <c r="I16" i="237"/>
  <c r="G22" i="237"/>
  <c r="F21" i="237"/>
  <c r="F23" i="237" s="1"/>
  <c r="G27" i="237"/>
  <c r="D29" i="237"/>
  <c r="K41" i="237"/>
  <c r="G16" i="237"/>
  <c r="G18" i="237"/>
  <c r="F29" i="237"/>
  <c r="H44" i="237"/>
  <c r="I44" i="237" s="1"/>
  <c r="I35" i="237"/>
  <c r="M24" i="237" l="1"/>
  <c r="M41" i="237"/>
  <c r="K44" i="237"/>
  <c r="M44" i="237" s="1"/>
  <c r="F39" i="234"/>
  <c r="K16" i="237"/>
  <c r="H46" i="237"/>
  <c r="I27" i="237"/>
  <c r="I46" i="237"/>
  <c r="K35" i="237"/>
  <c r="K27" i="237" l="1"/>
  <c r="M27" i="237" s="1"/>
  <c r="F20" i="234"/>
  <c r="I29" i="237"/>
  <c r="K46" i="237"/>
  <c r="M35" i="237"/>
  <c r="M46" i="237" s="1"/>
  <c r="M16" i="237"/>
  <c r="M29" i="237" l="1"/>
  <c r="K29" i="237"/>
  <c r="J113" i="236"/>
  <c r="H113" i="236"/>
  <c r="J107" i="236"/>
  <c r="D103" i="236"/>
  <c r="D100" i="236"/>
  <c r="D95" i="236"/>
  <c r="D94" i="236"/>
  <c r="D89" i="236"/>
  <c r="D101" i="236" s="1"/>
  <c r="D88" i="236"/>
  <c r="D81" i="236"/>
  <c r="D82" i="236" s="1"/>
  <c r="D76" i="236"/>
  <c r="D78" i="236" s="1"/>
  <c r="D71" i="236"/>
  <c r="D83" i="236" s="1"/>
  <c r="D70" i="236"/>
  <c r="J63" i="236"/>
  <c r="H63" i="236"/>
  <c r="D51" i="236"/>
  <c r="D48" i="236"/>
  <c r="D43" i="236"/>
  <c r="D42" i="236"/>
  <c r="D37" i="236"/>
  <c r="D49" i="236" s="1"/>
  <c r="D36" i="236"/>
  <c r="D29" i="236"/>
  <c r="D30" i="236" s="1"/>
  <c r="D24" i="236"/>
  <c r="D26" i="236" s="1"/>
  <c r="D19" i="236"/>
  <c r="D31" i="236" s="1"/>
  <c r="D18" i="236"/>
  <c r="A16" i="236"/>
  <c r="A17" i="236" s="1"/>
  <c r="A18" i="236" s="1"/>
  <c r="A19" i="236" s="1"/>
  <c r="A20" i="236" s="1"/>
  <c r="A21" i="236" s="1"/>
  <c r="A22" i="236" s="1"/>
  <c r="A23" i="236" s="1"/>
  <c r="A24" i="236" s="1"/>
  <c r="A25" i="236" s="1"/>
  <c r="A26" i="236" s="1"/>
  <c r="A27" i="236" s="1"/>
  <c r="A28" i="236" s="1"/>
  <c r="A29" i="236" s="1"/>
  <c r="A30" i="236" s="1"/>
  <c r="A31" i="236" s="1"/>
  <c r="A32" i="236" s="1"/>
  <c r="A33" i="236" s="1"/>
  <c r="A34" i="236" s="1"/>
  <c r="A35" i="236" s="1"/>
  <c r="A36" i="236" s="1"/>
  <c r="A37" i="236" s="1"/>
  <c r="A38" i="236" s="1"/>
  <c r="A39" i="236" s="1"/>
  <c r="A40" i="236" s="1"/>
  <c r="A41" i="236" s="1"/>
  <c r="A42" i="236" s="1"/>
  <c r="A43" i="236" s="1"/>
  <c r="A44" i="236" s="1"/>
  <c r="A45" i="236" s="1"/>
  <c r="A46" i="236" s="1"/>
  <c r="A47" i="236" s="1"/>
  <c r="A48" i="236" s="1"/>
  <c r="A49" i="236" s="1"/>
  <c r="A50" i="236" s="1"/>
  <c r="A51" i="236" s="1"/>
  <c r="A52" i="236" s="1"/>
  <c r="A53" i="236" s="1"/>
  <c r="A54" i="236" s="1"/>
  <c r="A55" i="236" s="1"/>
  <c r="A56" i="236" s="1"/>
  <c r="A57" i="236" s="1"/>
  <c r="A58" i="236" s="1"/>
  <c r="A59" i="236" s="1"/>
  <c r="A60" i="236" s="1"/>
  <c r="A61" i="236" s="1"/>
  <c r="A62" i="236" s="1"/>
  <c r="A63" i="236" s="1"/>
  <c r="A67" i="236" s="1"/>
  <c r="A68" i="236" s="1"/>
  <c r="A69" i="236" s="1"/>
  <c r="A70" i="236" s="1"/>
  <c r="A71" i="236" s="1"/>
  <c r="A72" i="236" s="1"/>
  <c r="A73" i="236" s="1"/>
  <c r="A74" i="236" s="1"/>
  <c r="A75" i="236" s="1"/>
  <c r="A76" i="236" s="1"/>
  <c r="A77" i="236" s="1"/>
  <c r="A78" i="236" s="1"/>
  <c r="A79" i="236" s="1"/>
  <c r="A80" i="236" s="1"/>
  <c r="A81" i="236" s="1"/>
  <c r="A82" i="236" s="1"/>
  <c r="A83" i="236" s="1"/>
  <c r="A84" i="236" s="1"/>
  <c r="A85" i="236" s="1"/>
  <c r="A86" i="236" s="1"/>
  <c r="A87" i="236" s="1"/>
  <c r="A88" i="236" s="1"/>
  <c r="A89" i="236" s="1"/>
  <c r="A90" i="236" s="1"/>
  <c r="A91" i="236" s="1"/>
  <c r="A92" i="236" s="1"/>
  <c r="A93" i="236" s="1"/>
  <c r="A94" i="236" s="1"/>
  <c r="A95" i="236" s="1"/>
  <c r="A96" i="236" s="1"/>
  <c r="A97" i="236" s="1"/>
  <c r="A98" i="236" s="1"/>
  <c r="A99" i="236" s="1"/>
  <c r="A100" i="236" s="1"/>
  <c r="A101" i="236" s="1"/>
  <c r="A102" i="236" s="1"/>
  <c r="A103" i="236" s="1"/>
  <c r="A104" i="236" s="1"/>
  <c r="A105" i="236" s="1"/>
  <c r="A106" i="236" s="1"/>
  <c r="A107" i="236" s="1"/>
  <c r="A108" i="236" s="1"/>
  <c r="A109" i="236" s="1"/>
  <c r="A110" i="236" s="1"/>
  <c r="A111" i="236" s="1"/>
  <c r="A112" i="236" s="1"/>
  <c r="A113" i="236" s="1"/>
  <c r="A16" i="235"/>
  <c r="A17" i="235" s="1"/>
  <c r="A18" i="235" s="1"/>
  <c r="A19" i="235" s="1"/>
  <c r="A20" i="235" s="1"/>
  <c r="A21" i="235" s="1"/>
  <c r="A22" i="235" s="1"/>
  <c r="A23" i="235" s="1"/>
  <c r="A24" i="235" s="1"/>
  <c r="A25" i="235" s="1"/>
  <c r="A26" i="235" s="1"/>
  <c r="A27" i="235" s="1"/>
  <c r="A28" i="235" s="1"/>
  <c r="A29" i="235" s="1"/>
  <c r="A30" i="235" s="1"/>
  <c r="A31" i="235" s="1"/>
  <c r="A32" i="235" s="1"/>
  <c r="A33" i="235" s="1"/>
  <c r="D16" i="235"/>
  <c r="G16" i="235" s="1"/>
  <c r="I16" i="235"/>
  <c r="K16" i="235" s="1"/>
  <c r="F19" i="235"/>
  <c r="I19" i="235" s="1"/>
  <c r="F22" i="235"/>
  <c r="F23" i="235"/>
  <c r="I26" i="235"/>
  <c r="F16" i="233" s="1"/>
  <c r="I27" i="235"/>
  <c r="F17" i="233" s="1"/>
  <c r="D31" i="235"/>
  <c r="H31" i="235"/>
  <c r="H33" i="235" s="1"/>
  <c r="A41" i="235"/>
  <c r="A42" i="235" s="1"/>
  <c r="A43" i="235" s="1"/>
  <c r="A44" i="235" s="1"/>
  <c r="A45" i="235" s="1"/>
  <c r="A46" i="235" s="1"/>
  <c r="A47" i="235" s="1"/>
  <c r="A48" i="235" s="1"/>
  <c r="A49" i="235" s="1"/>
  <c r="A50" i="235" s="1"/>
  <c r="A51" i="235" s="1"/>
  <c r="A52" i="235" s="1"/>
  <c r="G41" i="235"/>
  <c r="H41" i="235"/>
  <c r="I41" i="235" s="1"/>
  <c r="K41" i="235" s="1"/>
  <c r="M41" i="235" s="1"/>
  <c r="F44" i="235"/>
  <c r="F46" i="235" s="1"/>
  <c r="D45" i="235"/>
  <c r="G45" i="235" s="1"/>
  <c r="I47" i="235"/>
  <c r="J47" i="235"/>
  <c r="I48" i="235"/>
  <c r="F41" i="233" s="1"/>
  <c r="G50" i="235"/>
  <c r="D52" i="235"/>
  <c r="F52" i="235"/>
  <c r="D20" i="236" l="1"/>
  <c r="D90" i="236"/>
  <c r="D92" i="236" s="1"/>
  <c r="D50" i="236"/>
  <c r="D52" i="236" s="1"/>
  <c r="G19" i="235"/>
  <c r="D33" i="235"/>
  <c r="D32" i="236"/>
  <c r="H50" i="235"/>
  <c r="I50" i="235" s="1"/>
  <c r="F44" i="233" s="1"/>
  <c r="D38" i="236"/>
  <c r="D40" i="236" s="1"/>
  <c r="D72" i="236"/>
  <c r="D44" i="236"/>
  <c r="D46" i="236" s="1"/>
  <c r="D56" i="236" s="1"/>
  <c r="F56" i="236" s="1"/>
  <c r="K19" i="235"/>
  <c r="M19" i="235" s="1"/>
  <c r="F14" i="233"/>
  <c r="F25" i="235"/>
  <c r="F33" i="235" s="1"/>
  <c r="F40" i="233"/>
  <c r="G31" i="235"/>
  <c r="D84" i="236"/>
  <c r="D96" i="236"/>
  <c r="D98" i="236" s="1"/>
  <c r="D108" i="236" s="1"/>
  <c r="F108" i="236" s="1"/>
  <c r="D24" i="235"/>
  <c r="G24" i="235" s="1"/>
  <c r="K48" i="235"/>
  <c r="J52" i="235"/>
  <c r="J33" i="235"/>
  <c r="K27" i="235"/>
  <c r="D102" i="236"/>
  <c r="D104" i="236" s="1"/>
  <c r="M16" i="235"/>
  <c r="K26" i="235"/>
  <c r="I31" i="235"/>
  <c r="K47" i="235"/>
  <c r="I52" i="235" l="1"/>
  <c r="H52" i="235"/>
  <c r="D63" i="236"/>
  <c r="K50" i="235"/>
  <c r="M50" i="235" s="1"/>
  <c r="D55" i="236"/>
  <c r="D57" i="236" s="1"/>
  <c r="E47" i="236"/>
  <c r="M47" i="235"/>
  <c r="D107" i="236"/>
  <c r="F107" i="236" s="1"/>
  <c r="I108" i="236"/>
  <c r="K108" i="236"/>
  <c r="M108" i="236" s="1"/>
  <c r="K31" i="235"/>
  <c r="M31" i="235" s="1"/>
  <c r="F20" i="233"/>
  <c r="I56" i="236"/>
  <c r="K56" i="236" s="1"/>
  <c r="M56" i="236" s="1"/>
  <c r="G56" i="236"/>
  <c r="D113" i="236"/>
  <c r="I33" i="235"/>
  <c r="M26" i="235"/>
  <c r="P13" i="215"/>
  <c r="K52" i="235" l="1"/>
  <c r="M52" i="235"/>
  <c r="F55" i="236"/>
  <c r="G55" i="236" s="1"/>
  <c r="D109" i="236"/>
  <c r="D110" i="236" s="1"/>
  <c r="F110" i="236" s="1"/>
  <c r="K33" i="235"/>
  <c r="M33" i="235"/>
  <c r="D58" i="236"/>
  <c r="F58" i="236" s="1"/>
  <c r="I107" i="236"/>
  <c r="G107" i="236"/>
  <c r="K107" i="236"/>
  <c r="F63" i="236" l="1"/>
  <c r="I55" i="236"/>
  <c r="K55" i="236" s="1"/>
  <c r="D111" i="236"/>
  <c r="D59" i="236"/>
  <c r="K110" i="236"/>
  <c r="M110" i="236" s="1"/>
  <c r="I110" i="236"/>
  <c r="I113" i="236" s="1"/>
  <c r="G110" i="236"/>
  <c r="F113" i="236"/>
  <c r="M107" i="236"/>
  <c r="G58" i="236"/>
  <c r="I58" i="236"/>
  <c r="K58" i="236" s="1"/>
  <c r="M58" i="236" s="1"/>
  <c r="K113" i="236" l="1"/>
  <c r="M113" i="236"/>
  <c r="K63" i="236"/>
  <c r="M55" i="236"/>
  <c r="M63" i="236" s="1"/>
  <c r="I63" i="236"/>
  <c r="B76" i="234" l="1"/>
  <c r="L48" i="234"/>
  <c r="K48" i="234"/>
  <c r="F48" i="234"/>
  <c r="B48" i="234"/>
  <c r="P37" i="234"/>
  <c r="L29" i="234"/>
  <c r="K29" i="234"/>
  <c r="F29" i="234"/>
  <c r="B29" i="234"/>
  <c r="P15" i="234" l="1"/>
  <c r="P26" i="234"/>
  <c r="P13" i="234"/>
  <c r="P19" i="234"/>
  <c r="P40" i="234"/>
  <c r="P25" i="234"/>
  <c r="P45" i="234"/>
  <c r="P44" i="234"/>
  <c r="Q39" i="234"/>
  <c r="N48" i="234"/>
  <c r="O48" i="234"/>
  <c r="Q36" i="234"/>
  <c r="P38" i="234"/>
  <c r="M48" i="234"/>
  <c r="J48" i="234"/>
  <c r="I48" i="234"/>
  <c r="Q35" i="234"/>
  <c r="P34" i="234"/>
  <c r="Q20" i="234"/>
  <c r="Q17" i="234"/>
  <c r="O29" i="234"/>
  <c r="Q14" i="234"/>
  <c r="N29" i="234"/>
  <c r="Q16" i="234"/>
  <c r="P21" i="234"/>
  <c r="P18" i="234"/>
  <c r="M29" i="234"/>
  <c r="I29" i="234"/>
  <c r="J29" i="234"/>
  <c r="P29" i="234" l="1"/>
  <c r="Q48" i="234"/>
  <c r="P48" i="234"/>
  <c r="Q29" i="234"/>
  <c r="P22" i="233" l="1"/>
  <c r="Q23" i="233" l="1"/>
  <c r="Q20" i="233" l="1"/>
  <c r="I34" i="233" l="1"/>
  <c r="B85" i="233"/>
  <c r="O58" i="233"/>
  <c r="N58" i="233"/>
  <c r="L58" i="233"/>
  <c r="K58" i="233"/>
  <c r="J58" i="233"/>
  <c r="F58" i="233"/>
  <c r="B58" i="233"/>
  <c r="P55" i="233"/>
  <c r="P54" i="233"/>
  <c r="P53" i="233"/>
  <c r="P49" i="233"/>
  <c r="Q48" i="233"/>
  <c r="Q47" i="233"/>
  <c r="P46" i="233"/>
  <c r="P45" i="233"/>
  <c r="Q44" i="233"/>
  <c r="P43" i="233"/>
  <c r="Q41" i="233"/>
  <c r="Q40" i="233"/>
  <c r="P39" i="233"/>
  <c r="O34" i="233"/>
  <c r="N34" i="233"/>
  <c r="L34" i="233"/>
  <c r="K34" i="233"/>
  <c r="J34" i="233"/>
  <c r="B34" i="233"/>
  <c r="P31" i="233"/>
  <c r="P30" i="233"/>
  <c r="P29" i="233"/>
  <c r="P25" i="233"/>
  <c r="Q24" i="233"/>
  <c r="F24" i="233"/>
  <c r="F34" i="233" s="1"/>
  <c r="P21" i="233"/>
  <c r="P19" i="233"/>
  <c r="P18" i="233"/>
  <c r="Q17" i="233"/>
  <c r="Q16" i="233"/>
  <c r="P15" i="233"/>
  <c r="Q14" i="233"/>
  <c r="P13" i="233"/>
  <c r="Q58" i="233" l="1"/>
  <c r="I58" i="233"/>
  <c r="Q34" i="233"/>
  <c r="P34" i="233"/>
  <c r="P42" i="233"/>
  <c r="P58" i="233" s="1"/>
  <c r="M34" i="233"/>
  <c r="M58" i="233"/>
  <c r="N45" i="210" l="1"/>
  <c r="M45" i="210"/>
  <c r="L45" i="210"/>
  <c r="K45" i="210"/>
  <c r="J45" i="210"/>
  <c r="N197" i="210"/>
  <c r="M197" i="210"/>
  <c r="L197" i="210"/>
  <c r="K197" i="210"/>
  <c r="N195" i="209"/>
  <c r="M195" i="209"/>
  <c r="N226" i="90"/>
  <c r="M226" i="90"/>
  <c r="L226" i="90"/>
  <c r="K226" i="90"/>
  <c r="J226" i="90"/>
  <c r="N30" i="90"/>
  <c r="M30" i="90"/>
  <c r="L30" i="90"/>
  <c r="K30" i="90"/>
  <c r="J30" i="90"/>
  <c r="J197" i="210" l="1"/>
  <c r="G66" i="222" l="1"/>
  <c r="H66" i="222"/>
  <c r="F66" i="222"/>
  <c r="G66" i="203"/>
  <c r="H66" i="203"/>
  <c r="F66" i="203"/>
  <c r="N130" i="210" l="1"/>
  <c r="M130" i="210"/>
  <c r="L130" i="210"/>
  <c r="K130" i="210"/>
  <c r="J130" i="210"/>
  <c r="N129" i="210"/>
  <c r="M129" i="210"/>
  <c r="L129" i="210"/>
  <c r="K129" i="210"/>
  <c r="J129" i="210"/>
  <c r="J197" i="209"/>
  <c r="K197" i="209"/>
  <c r="L197" i="209"/>
  <c r="M197" i="209"/>
  <c r="N197" i="209"/>
  <c r="F25" i="193" l="1"/>
  <c r="K12" i="90" s="1"/>
  <c r="G25" i="193"/>
  <c r="K38" i="90" s="1"/>
  <c r="E132" i="219" l="1"/>
  <c r="A16" i="39"/>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115" i="219" l="1"/>
  <c r="E131" i="219"/>
  <c r="I19" i="190" l="1"/>
  <c r="E66" i="39" l="1"/>
  <c r="K201" i="210" l="1"/>
  <c r="L201" i="210"/>
  <c r="M201" i="210"/>
  <c r="N201" i="210"/>
  <c r="K202" i="210"/>
  <c r="L202" i="210"/>
  <c r="M202" i="210"/>
  <c r="N202" i="210"/>
  <c r="K203" i="210"/>
  <c r="L203" i="210"/>
  <c r="M203" i="210"/>
  <c r="N203" i="210"/>
  <c r="J201" i="210"/>
  <c r="J202" i="210"/>
  <c r="J203" i="210"/>
  <c r="N139" i="209" l="1"/>
  <c r="M139" i="209"/>
  <c r="L139" i="209"/>
  <c r="K139" i="209"/>
  <c r="J139" i="209"/>
  <c r="N200" i="210" l="1"/>
  <c r="M200" i="210"/>
  <c r="L200" i="210"/>
  <c r="K200" i="210"/>
  <c r="J200" i="210"/>
  <c r="N131" i="210"/>
  <c r="M131" i="210"/>
  <c r="L131" i="210"/>
  <c r="J131" i="210"/>
  <c r="H132" i="210" l="1"/>
  <c r="H206" i="210"/>
  <c r="C3" i="210" l="1"/>
  <c r="C4" i="210"/>
  <c r="E46" i="78" l="1"/>
  <c r="E48" i="78" s="1"/>
  <c r="C6" i="90" l="1"/>
  <c r="H234" i="90" l="1"/>
  <c r="D45" i="89" l="1"/>
  <c r="H147" i="90"/>
  <c r="N232" i="90" l="1"/>
  <c r="M232" i="90"/>
  <c r="L232" i="90"/>
  <c r="K232" i="90"/>
  <c r="J232" i="90"/>
  <c r="N227" i="90"/>
  <c r="M227" i="90"/>
  <c r="L227" i="90"/>
  <c r="K227" i="90"/>
  <c r="J227" i="90"/>
  <c r="N146" i="90"/>
  <c r="M146" i="90"/>
  <c r="L146" i="90"/>
  <c r="J146" i="90"/>
  <c r="N18" i="90"/>
  <c r="M18" i="90"/>
  <c r="L18" i="90"/>
  <c r="K18" i="90"/>
  <c r="J18" i="90"/>
  <c r="N29" i="90"/>
  <c r="M29" i="90"/>
  <c r="C3" i="90"/>
  <c r="C4" i="90"/>
  <c r="H31" i="90" l="1"/>
  <c r="P32" i="74" l="1"/>
  <c r="E51" i="153" l="1"/>
  <c r="M56" i="221" l="1"/>
  <c r="L94" i="204" l="1"/>
  <c r="M57" i="221" l="1"/>
  <c r="M53" i="221"/>
  <c r="M48" i="221"/>
  <c r="G37" i="78" l="1"/>
  <c r="G41" i="78"/>
  <c r="E25" i="212" l="1"/>
  <c r="E25" i="193"/>
  <c r="P26" i="74" l="1"/>
  <c r="D26" i="74" s="1"/>
  <c r="E26" i="74" s="1"/>
  <c r="N26" i="74"/>
  <c r="M26" i="74"/>
  <c r="Q53" i="153" l="1"/>
  <c r="S53" i="153" s="1"/>
  <c r="Q52" i="153"/>
  <c r="S52" i="153" s="1"/>
  <c r="P55" i="153"/>
  <c r="O55" i="153"/>
  <c r="N55" i="153"/>
  <c r="M55" i="153"/>
  <c r="L55" i="153"/>
  <c r="K55" i="153"/>
  <c r="J55" i="153"/>
  <c r="I55" i="153"/>
  <c r="H55" i="153"/>
  <c r="G55" i="153"/>
  <c r="F55" i="153"/>
  <c r="E55" i="153"/>
  <c r="A15" i="153"/>
  <c r="A16" i="153" s="1"/>
  <c r="A17" i="153" s="1"/>
  <c r="A18" i="153" s="1"/>
  <c r="A19" i="153" s="1"/>
  <c r="A20" i="153" s="1"/>
  <c r="A21" i="153" s="1"/>
  <c r="A22" i="153" s="1"/>
  <c r="A23" i="153" s="1"/>
  <c r="A24" i="153" s="1"/>
  <c r="A25" i="153" s="1"/>
  <c r="A26" i="153" s="1"/>
  <c r="A27" i="153" s="1"/>
  <c r="A28" i="153" s="1"/>
  <c r="A29" i="153" s="1"/>
  <c r="A30" i="153" s="1"/>
  <c r="A31" i="153" s="1"/>
  <c r="A32" i="153" s="1"/>
  <c r="A33" i="153" s="1"/>
  <c r="A37" i="153" s="1"/>
  <c r="A38" i="153" s="1"/>
  <c r="A39" i="153" s="1"/>
  <c r="A41" i="153" s="1"/>
  <c r="A42" i="153" s="1"/>
  <c r="A43" i="153" s="1"/>
  <c r="A44" i="153" s="1"/>
  <c r="A45" i="153" s="1"/>
  <c r="A46" i="153" s="1"/>
  <c r="A48" i="153" s="1"/>
  <c r="A51" i="153" s="1"/>
  <c r="A52" i="153" s="1"/>
  <c r="A53" i="153" s="1"/>
  <c r="A54" i="153" s="1"/>
  <c r="A55" i="153" s="1"/>
  <c r="A56" i="153" s="1"/>
  <c r="A57" i="153" s="1"/>
  <c r="P51" i="153"/>
  <c r="P54" i="153" s="1"/>
  <c r="M51" i="153"/>
  <c r="M54" i="153" s="1"/>
  <c r="L51" i="153"/>
  <c r="L54" i="153" s="1"/>
  <c r="I51" i="153"/>
  <c r="I54" i="153" s="1"/>
  <c r="H51" i="153"/>
  <c r="H54" i="153" s="1"/>
  <c r="G11" i="74"/>
  <c r="L56" i="153" l="1"/>
  <c r="H56" i="153"/>
  <c r="P56" i="153"/>
  <c r="Q16" i="153"/>
  <c r="S16" i="153" s="1"/>
  <c r="Q20" i="153"/>
  <c r="S20" i="153" s="1"/>
  <c r="Q24" i="153"/>
  <c r="S24" i="153" s="1"/>
  <c r="Q28" i="153"/>
  <c r="S28" i="153" s="1"/>
  <c r="H46" i="153"/>
  <c r="P46" i="153"/>
  <c r="H40" i="153"/>
  <c r="L40" i="153"/>
  <c r="P40" i="153"/>
  <c r="L46" i="153"/>
  <c r="Q17" i="153"/>
  <c r="S17" i="153" s="1"/>
  <c r="Q21" i="153"/>
  <c r="S21" i="153" s="1"/>
  <c r="Q25" i="153"/>
  <c r="S25" i="153" s="1"/>
  <c r="Q29" i="153"/>
  <c r="S29" i="153" s="1"/>
  <c r="E40" i="153"/>
  <c r="I40" i="153"/>
  <c r="M40" i="153"/>
  <c r="F46" i="153"/>
  <c r="J46" i="153"/>
  <c r="N46" i="153"/>
  <c r="E46" i="153"/>
  <c r="I46" i="153"/>
  <c r="M46" i="153"/>
  <c r="J33" i="153"/>
  <c r="J57" i="153" s="1"/>
  <c r="N33" i="153"/>
  <c r="N57" i="153" s="1"/>
  <c r="Q18" i="153"/>
  <c r="S18" i="153" s="1"/>
  <c r="Q22" i="153"/>
  <c r="S22" i="153" s="1"/>
  <c r="Q26" i="153"/>
  <c r="S26" i="153" s="1"/>
  <c r="Q30" i="153"/>
  <c r="S30" i="153" s="1"/>
  <c r="F40" i="153"/>
  <c r="J40" i="153"/>
  <c r="N40" i="153"/>
  <c r="G46" i="153"/>
  <c r="K46" i="153"/>
  <c r="O46" i="153"/>
  <c r="G33" i="153"/>
  <c r="G57" i="153" s="1"/>
  <c r="K33" i="153"/>
  <c r="K57" i="153" s="1"/>
  <c r="O33" i="153"/>
  <c r="O57" i="153" s="1"/>
  <c r="Q55" i="153"/>
  <c r="S55" i="153" s="1"/>
  <c r="H33" i="153"/>
  <c r="H57" i="153" s="1"/>
  <c r="L33" i="153"/>
  <c r="L57" i="153" s="1"/>
  <c r="P33" i="153"/>
  <c r="P57" i="153" s="1"/>
  <c r="Q19" i="153"/>
  <c r="S19" i="153" s="1"/>
  <c r="Q23" i="153"/>
  <c r="S23" i="153" s="1"/>
  <c r="Q31" i="153"/>
  <c r="S31" i="153" s="1"/>
  <c r="Q32" i="153"/>
  <c r="S32" i="153" s="1"/>
  <c r="G40" i="153"/>
  <c r="K40" i="153"/>
  <c r="O40" i="153"/>
  <c r="E54" i="153"/>
  <c r="M56" i="153"/>
  <c r="I56" i="153"/>
  <c r="K51" i="153"/>
  <c r="K54" i="153" s="1"/>
  <c r="K56" i="153" s="1"/>
  <c r="O51" i="153"/>
  <c r="O54" i="153" s="1"/>
  <c r="O56" i="153" s="1"/>
  <c r="F51" i="153"/>
  <c r="F54" i="153" s="1"/>
  <c r="F56" i="153" s="1"/>
  <c r="J51" i="153"/>
  <c r="J54" i="153" s="1"/>
  <c r="J56" i="153" s="1"/>
  <c r="N51" i="153"/>
  <c r="N54" i="153" s="1"/>
  <c r="N56" i="153" s="1"/>
  <c r="I33" i="153"/>
  <c r="I57" i="153" s="1"/>
  <c r="M33" i="153"/>
  <c r="M57" i="153" s="1"/>
  <c r="G51" i="153"/>
  <c r="G54" i="153" s="1"/>
  <c r="G56" i="153" s="1"/>
  <c r="Q15" i="153"/>
  <c r="E33" i="153"/>
  <c r="Q14" i="153"/>
  <c r="P26" i="213"/>
  <c r="D26" i="213" s="1"/>
  <c r="E26" i="213" s="1"/>
  <c r="N26" i="213"/>
  <c r="M26" i="213"/>
  <c r="Q40" i="153" l="1"/>
  <c r="S40" i="153" s="1"/>
  <c r="Q46" i="153"/>
  <c r="S46" i="153" s="1"/>
  <c r="S14" i="153"/>
  <c r="E57" i="153"/>
  <c r="Q51" i="153"/>
  <c r="S51" i="153" s="1"/>
  <c r="S15" i="153"/>
  <c r="E56" i="153"/>
  <c r="Q56" i="153" s="1"/>
  <c r="S56" i="153" s="1"/>
  <c r="Q54" i="153"/>
  <c r="S54" i="153" s="1"/>
  <c r="P50" i="213" l="1"/>
  <c r="P49" i="213"/>
  <c r="D49" i="213" s="1"/>
  <c r="E49" i="213" s="1"/>
  <c r="P47" i="213"/>
  <c r="P45" i="213"/>
  <c r="P44" i="213"/>
  <c r="P43" i="213"/>
  <c r="P42" i="213"/>
  <c r="P36" i="213"/>
  <c r="P27" i="213"/>
  <c r="D23" i="213"/>
  <c r="G11" i="213"/>
  <c r="P50" i="74"/>
  <c r="P49" i="74"/>
  <c r="P48" i="74"/>
  <c r="P47" i="74"/>
  <c r="P46" i="74"/>
  <c r="P48" i="213" l="1"/>
  <c r="P46" i="213"/>
  <c r="P41" i="213"/>
  <c r="P40" i="213"/>
  <c r="P39" i="213"/>
  <c r="P38" i="213"/>
  <c r="P37" i="213"/>
  <c r="P35" i="213"/>
  <c r="P34" i="213"/>
  <c r="P33" i="213"/>
  <c r="P32" i="213"/>
  <c r="P31" i="213"/>
  <c r="P30" i="213"/>
  <c r="P29" i="213"/>
  <c r="P25" i="213"/>
  <c r="C43" i="203"/>
  <c r="D43" i="203"/>
  <c r="E43" i="203"/>
  <c r="G43" i="203"/>
  <c r="E24" i="203"/>
  <c r="D24" i="203"/>
  <c r="F24" i="203" l="1"/>
  <c r="P28" i="213"/>
  <c r="F43" i="203"/>
  <c r="F44" i="188" l="1"/>
  <c r="E44" i="188"/>
  <c r="D44" i="188"/>
  <c r="C44" i="188"/>
  <c r="H24" i="188"/>
  <c r="G24" i="188"/>
  <c r="F24" i="188"/>
  <c r="E24" i="188"/>
  <c r="D24" i="188"/>
  <c r="C24" i="188"/>
  <c r="F44" i="186"/>
  <c r="E44" i="186"/>
  <c r="D44" i="186"/>
  <c r="C44" i="186"/>
  <c r="H24" i="186"/>
  <c r="G24" i="186"/>
  <c r="F24" i="186"/>
  <c r="E24" i="186"/>
  <c r="D24" i="186"/>
  <c r="C24" i="186"/>
  <c r="F44" i="206"/>
  <c r="E44" i="206"/>
  <c r="D44" i="206"/>
  <c r="C44" i="206"/>
  <c r="H24" i="206"/>
  <c r="G24" i="206"/>
  <c r="F24" i="206"/>
  <c r="E24" i="206"/>
  <c r="D24" i="206"/>
  <c r="C24" i="206"/>
  <c r="H24" i="205"/>
  <c r="F24" i="205"/>
  <c r="D24" i="205"/>
  <c r="C24" i="205"/>
  <c r="F44" i="205"/>
  <c r="D44" i="205"/>
  <c r="C44" i="205"/>
  <c r="E44" i="205"/>
  <c r="I50" i="205" l="1"/>
  <c r="E24" i="205"/>
  <c r="G24" i="205"/>
  <c r="G43" i="222" l="1"/>
  <c r="E43" i="222"/>
  <c r="D43" i="222"/>
  <c r="C43" i="222"/>
  <c r="D24" i="222"/>
  <c r="E24" i="222"/>
  <c r="C24" i="222" l="1"/>
  <c r="F24" i="222"/>
  <c r="F43" i="222"/>
  <c r="L27" i="178"/>
  <c r="H16" i="149"/>
  <c r="G16" i="189" l="1"/>
  <c r="F16" i="189"/>
  <c r="H11" i="189"/>
  <c r="A12" i="189"/>
  <c r="I31" i="190" l="1"/>
  <c r="R14" i="216" l="1"/>
  <c r="L63" i="232"/>
  <c r="H14" i="227" l="1"/>
  <c r="H13" i="227"/>
  <c r="H13" i="189"/>
  <c r="I52" i="186" l="1"/>
  <c r="I51" i="186"/>
  <c r="L94" i="86" s="1"/>
  <c r="I50" i="186"/>
  <c r="E66" i="203" l="1"/>
  <c r="P16" i="213" l="1"/>
  <c r="P17" i="213"/>
  <c r="P16" i="74" l="1"/>
  <c r="P17" i="74" l="1"/>
  <c r="P29" i="74"/>
  <c r="P30" i="74"/>
  <c r="P45" i="74"/>
  <c r="P44" i="74"/>
  <c r="P43" i="74"/>
  <c r="P42" i="74"/>
  <c r="P41" i="74"/>
  <c r="P40" i="74"/>
  <c r="P39" i="74"/>
  <c r="P38" i="74"/>
  <c r="P37" i="74"/>
  <c r="P36" i="74"/>
  <c r="P35" i="74"/>
  <c r="P34" i="74"/>
  <c r="P33" i="74"/>
  <c r="P28" i="74"/>
  <c r="P27" i="74"/>
  <c r="P25" i="74"/>
  <c r="P31" i="74"/>
  <c r="K44" i="78" l="1"/>
  <c r="K43" i="78"/>
  <c r="K42" i="78"/>
  <c r="K40" i="78"/>
  <c r="K38" i="78"/>
  <c r="K34" i="78"/>
  <c r="M39" i="78"/>
  <c r="M36" i="78"/>
  <c r="M35" i="78"/>
  <c r="M33" i="78"/>
  <c r="A46" i="78"/>
  <c r="C49" i="78" s="1"/>
  <c r="A32" i="78"/>
  <c r="I26" i="78"/>
  <c r="I25" i="78"/>
  <c r="I24" i="78"/>
  <c r="A28" i="78"/>
  <c r="G21" i="78"/>
  <c r="G20" i="78"/>
  <c r="G19" i="78"/>
  <c r="A23" i="78"/>
  <c r="A18" i="78"/>
  <c r="K58" i="221"/>
  <c r="K55" i="221"/>
  <c r="K54" i="221"/>
  <c r="K44" i="221"/>
  <c r="K43" i="221"/>
  <c r="K42" i="221"/>
  <c r="K41" i="221"/>
  <c r="K40" i="221"/>
  <c r="K39" i="221"/>
  <c r="K38" i="221"/>
  <c r="K37" i="221"/>
  <c r="K36" i="221"/>
  <c r="K35" i="221"/>
  <c r="M52" i="221"/>
  <c r="M51" i="221"/>
  <c r="M50" i="221"/>
  <c r="M49" i="221"/>
  <c r="M47" i="221"/>
  <c r="M46" i="221"/>
  <c r="M45" i="221"/>
  <c r="M34" i="221"/>
  <c r="A33" i="221"/>
  <c r="G22" i="221"/>
  <c r="G21" i="221"/>
  <c r="A29" i="221"/>
  <c r="A24" i="221"/>
  <c r="L21" i="217" l="1"/>
  <c r="N48" i="213" l="1"/>
  <c r="N47" i="213"/>
  <c r="N46" i="213"/>
  <c r="N45" i="213"/>
  <c r="N44" i="213"/>
  <c r="N43" i="213"/>
  <c r="N42" i="213"/>
  <c r="N41" i="213"/>
  <c r="N40" i="213"/>
  <c r="N39" i="213"/>
  <c r="N38" i="213"/>
  <c r="N37" i="213"/>
  <c r="N36" i="213"/>
  <c r="N35" i="213"/>
  <c r="N34" i="213"/>
  <c r="N33" i="213"/>
  <c r="M48" i="213"/>
  <c r="M47" i="213"/>
  <c r="M46" i="213"/>
  <c r="M45" i="213"/>
  <c r="M44" i="213"/>
  <c r="M43" i="213"/>
  <c r="M42" i="213"/>
  <c r="M41" i="213"/>
  <c r="M40" i="213"/>
  <c r="M39" i="213"/>
  <c r="M38" i="213"/>
  <c r="M37" i="213"/>
  <c r="M36" i="213"/>
  <c r="M35" i="213"/>
  <c r="N32" i="213"/>
  <c r="N31" i="213"/>
  <c r="N30" i="213"/>
  <c r="N29" i="213"/>
  <c r="N28" i="213"/>
  <c r="N27" i="213"/>
  <c r="N25" i="213"/>
  <c r="M28" i="213"/>
  <c r="M34" i="213"/>
  <c r="M33" i="213"/>
  <c r="M32" i="213"/>
  <c r="M31" i="213"/>
  <c r="M30" i="213"/>
  <c r="M29" i="213"/>
  <c r="M27" i="213"/>
  <c r="M25" i="213"/>
  <c r="P18" i="213" l="1"/>
  <c r="P18" i="74"/>
  <c r="F54" i="39" l="1"/>
  <c r="D48" i="213" l="1"/>
  <c r="E48" i="213" s="1"/>
  <c r="D47" i="213"/>
  <c r="D46" i="213"/>
  <c r="J46" i="213" s="1"/>
  <c r="D45" i="213"/>
  <c r="D44" i="213"/>
  <c r="D43" i="213"/>
  <c r="D42" i="213"/>
  <c r="D41" i="213"/>
  <c r="E41" i="213" s="1"/>
  <c r="D40" i="213"/>
  <c r="E40" i="213" s="1"/>
  <c r="D39" i="213"/>
  <c r="E39" i="213" s="1"/>
  <c r="D38" i="213"/>
  <c r="D37" i="213"/>
  <c r="D36" i="213"/>
  <c r="D35" i="213"/>
  <c r="D34" i="213"/>
  <c r="D33" i="213"/>
  <c r="E33" i="213" s="1"/>
  <c r="D32" i="213"/>
  <c r="E32" i="213" s="1"/>
  <c r="D31" i="213"/>
  <c r="D30" i="213"/>
  <c r="D29" i="213"/>
  <c r="D28" i="213"/>
  <c r="E28" i="213" s="1"/>
  <c r="D27" i="213"/>
  <c r="E27" i="213" s="1"/>
  <c r="D25" i="213"/>
  <c r="G18" i="213"/>
  <c r="G104" i="204" s="1"/>
  <c r="G17" i="213"/>
  <c r="G16" i="213"/>
  <c r="D45" i="74"/>
  <c r="D44" i="74"/>
  <c r="D43" i="74"/>
  <c r="D42" i="74"/>
  <c r="D41" i="74"/>
  <c r="D40" i="74"/>
  <c r="D39" i="74"/>
  <c r="D38" i="74"/>
  <c r="D37" i="74"/>
  <c r="D36" i="74"/>
  <c r="D35" i="74"/>
  <c r="D34" i="74"/>
  <c r="D33" i="74"/>
  <c r="D32" i="74"/>
  <c r="E32" i="74" s="1"/>
  <c r="D31" i="74"/>
  <c r="D30" i="74"/>
  <c r="D29" i="74"/>
  <c r="D28" i="74"/>
  <c r="D27" i="74"/>
  <c r="D25" i="74"/>
  <c r="G18" i="74"/>
  <c r="G17" i="74"/>
  <c r="G16" i="74"/>
  <c r="F5" i="149" l="1"/>
  <c r="J11" i="196" l="1"/>
  <c r="U2" i="232" l="1"/>
  <c r="T15" i="232" s="1"/>
  <c r="U2" i="231"/>
  <c r="T15" i="231" s="1"/>
  <c r="H8" i="231"/>
  <c r="H8" i="232"/>
  <c r="N54" i="232"/>
  <c r="M54" i="232"/>
  <c r="J54" i="232"/>
  <c r="I54" i="232"/>
  <c r="F54" i="232"/>
  <c r="E54" i="232"/>
  <c r="O13" i="232"/>
  <c r="K13" i="232"/>
  <c r="G13" i="232"/>
  <c r="N95" i="231"/>
  <c r="M95" i="231"/>
  <c r="J95" i="231"/>
  <c r="I95" i="231"/>
  <c r="F95" i="231"/>
  <c r="E95" i="231"/>
  <c r="O13" i="231"/>
  <c r="K13" i="231"/>
  <c r="G13" i="231"/>
  <c r="I62" i="232" l="1"/>
  <c r="I63" i="232" s="1"/>
  <c r="J62" i="232"/>
  <c r="J63" i="232" s="1"/>
  <c r="R13" i="231"/>
  <c r="T13" i="231" s="1"/>
  <c r="R13" i="232"/>
  <c r="T13" i="232" s="1"/>
  <c r="E14" i="232"/>
  <c r="I14" i="232"/>
  <c r="H4" i="232"/>
  <c r="H4" i="231"/>
  <c r="E14" i="231"/>
  <c r="I14" i="231"/>
  <c r="O95" i="231"/>
  <c r="G54" i="232"/>
  <c r="K54" i="232"/>
  <c r="O54" i="232"/>
  <c r="G95" i="231"/>
  <c r="K62" i="232" l="1"/>
  <c r="K63" i="232" s="1"/>
  <c r="T95" i="231"/>
  <c r="V95" i="231"/>
  <c r="R54" i="232"/>
  <c r="T54" i="232"/>
  <c r="V54" i="232"/>
  <c r="R95" i="231" l="1"/>
  <c r="S49" i="216"/>
  <c r="S48" i="216"/>
  <c r="S47" i="216"/>
  <c r="S46" i="216"/>
  <c r="O19" i="216"/>
  <c r="N19" i="216"/>
  <c r="G23" i="204" s="1"/>
  <c r="O18" i="216"/>
  <c r="N18" i="216"/>
  <c r="O19" i="129"/>
  <c r="N19" i="129"/>
  <c r="G23" i="86" s="1"/>
  <c r="O18" i="129"/>
  <c r="N18" i="129"/>
  <c r="S49" i="129"/>
  <c r="S48" i="129"/>
  <c r="S47" i="129"/>
  <c r="S46" i="129"/>
  <c r="P18" i="129" l="1"/>
  <c r="P18" i="216"/>
  <c r="P19" i="216"/>
  <c r="P19" i="129"/>
  <c r="N2" i="204" l="1"/>
  <c r="Q23" i="213" s="1"/>
  <c r="L15" i="149"/>
  <c r="J52" i="228"/>
  <c r="I52" i="228"/>
  <c r="K51" i="228"/>
  <c r="N51" i="228" s="1"/>
  <c r="K50" i="228"/>
  <c r="N50" i="228" s="1"/>
  <c r="K49" i="228"/>
  <c r="N49" i="228" s="1"/>
  <c r="K48" i="228"/>
  <c r="N48" i="228" s="1"/>
  <c r="K47" i="228"/>
  <c r="N47" i="228" s="1"/>
  <c r="I40" i="228"/>
  <c r="G147" i="204" s="1"/>
  <c r="I35" i="228"/>
  <c r="G141" i="204" s="1"/>
  <c r="I25" i="228"/>
  <c r="G133" i="204" s="1"/>
  <c r="G131" i="204"/>
  <c r="B18" i="228"/>
  <c r="B20" i="228" s="1"/>
  <c r="B14" i="228"/>
  <c r="B13" i="228"/>
  <c r="B12" i="228"/>
  <c r="B11" i="228"/>
  <c r="A5" i="228"/>
  <c r="A2" i="228"/>
  <c r="G18" i="227"/>
  <c r="F18" i="227"/>
  <c r="H17" i="227"/>
  <c r="H16" i="227"/>
  <c r="H15" i="227"/>
  <c r="H12" i="227"/>
  <c r="A15" i="227"/>
  <c r="A16" i="227" s="1"/>
  <c r="A17" i="227" s="1"/>
  <c r="A18" i="227" s="1"/>
  <c r="E98" i="204" s="1"/>
  <c r="A5" i="227"/>
  <c r="A2" i="227"/>
  <c r="E39" i="226"/>
  <c r="L59" i="223" s="1"/>
  <c r="A25" i="226"/>
  <c r="A8" i="226"/>
  <c r="L40" i="225"/>
  <c r="L39" i="225"/>
  <c r="L38" i="225"/>
  <c r="L37" i="225"/>
  <c r="L36" i="225"/>
  <c r="L35" i="225"/>
  <c r="L32" i="225"/>
  <c r="L31" i="225"/>
  <c r="L30" i="225"/>
  <c r="L29" i="225"/>
  <c r="L28" i="225"/>
  <c r="L27" i="225"/>
  <c r="L26" i="225"/>
  <c r="L25" i="225"/>
  <c r="L24" i="225"/>
  <c r="L23" i="225"/>
  <c r="L22" i="225"/>
  <c r="L21" i="225"/>
  <c r="J21" i="225"/>
  <c r="B7" i="225"/>
  <c r="L40" i="224"/>
  <c r="L39" i="224"/>
  <c r="L38" i="224"/>
  <c r="L37" i="224"/>
  <c r="L36" i="224"/>
  <c r="L35" i="224"/>
  <c r="L32" i="224"/>
  <c r="L31" i="224"/>
  <c r="L30" i="224"/>
  <c r="L29" i="224"/>
  <c r="L28" i="224"/>
  <c r="L27" i="224"/>
  <c r="L26" i="224"/>
  <c r="L25" i="224"/>
  <c r="L24" i="224"/>
  <c r="L23" i="224"/>
  <c r="L22" i="224"/>
  <c r="L21" i="224"/>
  <c r="J21" i="224"/>
  <c r="B7" i="224"/>
  <c r="L44" i="223"/>
  <c r="L43" i="223"/>
  <c r="L42" i="223"/>
  <c r="L41" i="223"/>
  <c r="L40" i="223"/>
  <c r="L39" i="223"/>
  <c r="L38" i="223"/>
  <c r="L37" i="223"/>
  <c r="L36" i="223"/>
  <c r="L35" i="223"/>
  <c r="L34" i="223"/>
  <c r="L33" i="223"/>
  <c r="L30" i="223"/>
  <c r="L29" i="223"/>
  <c r="L28" i="223"/>
  <c r="L27" i="223"/>
  <c r="L26" i="223"/>
  <c r="L25" i="223"/>
  <c r="L24" i="223"/>
  <c r="L23" i="223"/>
  <c r="L22" i="223"/>
  <c r="L21" i="223"/>
  <c r="L20" i="223"/>
  <c r="L19" i="223"/>
  <c r="J19" i="223"/>
  <c r="B7" i="223"/>
  <c r="D76" i="222"/>
  <c r="C76" i="222"/>
  <c r="E52" i="222" s="1"/>
  <c r="F75" i="222"/>
  <c r="E74" i="222"/>
  <c r="E73" i="222"/>
  <c r="E72" i="222"/>
  <c r="E71" i="222"/>
  <c r="E70" i="222"/>
  <c r="E69" i="222"/>
  <c r="E68" i="222"/>
  <c r="E67" i="222"/>
  <c r="E66" i="222"/>
  <c r="H42" i="222"/>
  <c r="H41" i="222"/>
  <c r="H40" i="222"/>
  <c r="H39" i="222"/>
  <c r="H38" i="222"/>
  <c r="H37" i="222"/>
  <c r="H36" i="222"/>
  <c r="H35" i="222"/>
  <c r="H34" i="222"/>
  <c r="H33" i="222"/>
  <c r="H32" i="222"/>
  <c r="H31" i="222"/>
  <c r="H30" i="222"/>
  <c r="E86" i="222"/>
  <c r="E88" i="222" s="1"/>
  <c r="G23" i="222"/>
  <c r="G22" i="222"/>
  <c r="G21" i="222"/>
  <c r="G20" i="222"/>
  <c r="G19" i="222"/>
  <c r="G18" i="222"/>
  <c r="G17" i="222"/>
  <c r="G16" i="222"/>
  <c r="G15" i="222"/>
  <c r="G14" i="222"/>
  <c r="G13" i="222"/>
  <c r="G12" i="222"/>
  <c r="A12" i="222"/>
  <c r="A13" i="222" s="1"/>
  <c r="A14" i="222" s="1"/>
  <c r="A15" i="222" s="1"/>
  <c r="A16" i="222" s="1"/>
  <c r="A17" i="222" s="1"/>
  <c r="A18" i="222" s="1"/>
  <c r="A19" i="222" s="1"/>
  <c r="A20" i="222" s="1"/>
  <c r="A21" i="222" s="1"/>
  <c r="A22" i="222" s="1"/>
  <c r="A23" i="222" s="1"/>
  <c r="A24" i="222" s="1"/>
  <c r="G11" i="222"/>
  <c r="A5" i="222"/>
  <c r="A2" i="222"/>
  <c r="E60" i="221"/>
  <c r="I27" i="221"/>
  <c r="I26" i="221"/>
  <c r="I25" i="221"/>
  <c r="G20" i="221"/>
  <c r="G19" i="221"/>
  <c r="M16" i="221"/>
  <c r="A16" i="221"/>
  <c r="A18" i="221" s="1"/>
  <c r="A19" i="221" s="1"/>
  <c r="A20" i="221" s="1"/>
  <c r="A21" i="221" s="1"/>
  <c r="A22" i="221" s="1"/>
  <c r="A25" i="221" s="1"/>
  <c r="A26" i="221" s="1"/>
  <c r="A27" i="221" s="1"/>
  <c r="A30" i="221" s="1"/>
  <c r="A31" i="221" s="1"/>
  <c r="A34" i="221" s="1"/>
  <c r="A35" i="221" s="1"/>
  <c r="A36" i="221" s="1"/>
  <c r="A37" i="221" s="1"/>
  <c r="A38" i="221" s="1"/>
  <c r="A39" i="221" s="1"/>
  <c r="A40" i="221" s="1"/>
  <c r="A41" i="221" s="1"/>
  <c r="A42" i="221" s="1"/>
  <c r="A43" i="221" s="1"/>
  <c r="A5" i="221"/>
  <c r="A2" i="221"/>
  <c r="E53" i="220"/>
  <c r="F61" i="215" s="1"/>
  <c r="P30" i="215" s="1"/>
  <c r="K44" i="220"/>
  <c r="F65" i="216" s="1"/>
  <c r="K42" i="220"/>
  <c r="F63" i="216" s="1"/>
  <c r="A41" i="220"/>
  <c r="A42" i="220" s="1"/>
  <c r="A43" i="220" s="1"/>
  <c r="A44" i="220" s="1"/>
  <c r="A45" i="220" s="1"/>
  <c r="F27" i="220"/>
  <c r="F23" i="220"/>
  <c r="F19" i="220"/>
  <c r="F15" i="220"/>
  <c r="F11" i="220"/>
  <c r="A5" i="220"/>
  <c r="A2" i="220"/>
  <c r="F137" i="219"/>
  <c r="G146" i="204" s="1"/>
  <c r="L146" i="204" s="1"/>
  <c r="F124" i="219"/>
  <c r="G145" i="204" s="1"/>
  <c r="A5" i="219"/>
  <c r="G21" i="218"/>
  <c r="G132" i="204" s="1"/>
  <c r="B13" i="218"/>
  <c r="A5" i="218"/>
  <c r="A2" i="218"/>
  <c r="M46" i="217"/>
  <c r="M29" i="217"/>
  <c r="K29" i="217"/>
  <c r="L28" i="217"/>
  <c r="L27" i="217"/>
  <c r="M22" i="217"/>
  <c r="K22" i="217"/>
  <c r="L19" i="217"/>
  <c r="L18" i="217"/>
  <c r="L17" i="217"/>
  <c r="L14" i="217"/>
  <c r="B14" i="217"/>
  <c r="B22" i="217" s="1"/>
  <c r="B29" i="217" s="1"/>
  <c r="B46" i="217" s="1"/>
  <c r="B48" i="217" s="1"/>
  <c r="B50" i="217" s="1"/>
  <c r="B52" i="217" s="1"/>
  <c r="L12" i="217"/>
  <c r="A6" i="217"/>
  <c r="A3" i="217"/>
  <c r="A2" i="219" s="1"/>
  <c r="J98" i="216"/>
  <c r="L92" i="216"/>
  <c r="A89" i="216"/>
  <c r="F82" i="216"/>
  <c r="R35" i="216" s="1"/>
  <c r="C78" i="216"/>
  <c r="C76" i="216"/>
  <c r="C75" i="216"/>
  <c r="C73" i="216"/>
  <c r="C72" i="216"/>
  <c r="C70" i="216"/>
  <c r="C59" i="216"/>
  <c r="C58" i="216"/>
  <c r="C56" i="216"/>
  <c r="C53" i="216"/>
  <c r="C52" i="216"/>
  <c r="C49" i="216"/>
  <c r="C48" i="216"/>
  <c r="C39" i="216"/>
  <c r="C38" i="216"/>
  <c r="C27" i="216"/>
  <c r="C21" i="216"/>
  <c r="S20" i="216"/>
  <c r="P20" i="216"/>
  <c r="O20" i="216"/>
  <c r="N20" i="216"/>
  <c r="L20" i="216"/>
  <c r="S19" i="216"/>
  <c r="S18" i="216"/>
  <c r="S17" i="216"/>
  <c r="S16" i="216"/>
  <c r="S15" i="216"/>
  <c r="C13" i="216"/>
  <c r="A12" i="216"/>
  <c r="A13" i="216" s="1"/>
  <c r="A14" i="216" s="1"/>
  <c r="A15" i="216" s="1"/>
  <c r="A16" i="216" s="1"/>
  <c r="A17" i="216" s="1"/>
  <c r="A18" i="216" s="1"/>
  <c r="A19" i="216" s="1"/>
  <c r="A23" i="216" s="1"/>
  <c r="A24" i="216" s="1"/>
  <c r="A25" i="216" s="1"/>
  <c r="A29" i="216" s="1"/>
  <c r="A30" i="216" s="1"/>
  <c r="A31" i="216" s="1"/>
  <c r="A32" i="216" s="1"/>
  <c r="A33" i="216" s="1"/>
  <c r="A34" i="216" s="1"/>
  <c r="A35" i="216" s="1"/>
  <c r="A36" i="216" s="1"/>
  <c r="A42" i="216" s="1"/>
  <c r="A43" i="216" s="1"/>
  <c r="A44" i="216" s="1"/>
  <c r="A45" i="216" s="1"/>
  <c r="A46" i="216" s="1"/>
  <c r="A49" i="216" s="1"/>
  <c r="A50" i="216" s="1"/>
  <c r="A51" i="216" s="1"/>
  <c r="A52" i="216" s="1"/>
  <c r="A53" i="216" s="1"/>
  <c r="A54" i="216" s="1"/>
  <c r="A55" i="216" s="1"/>
  <c r="A56" i="216" s="1"/>
  <c r="A59" i="216" s="1"/>
  <c r="A60" i="216" s="1"/>
  <c r="A61" i="216" s="1"/>
  <c r="A62" i="216" s="1"/>
  <c r="A63" i="216" s="1"/>
  <c r="A64" i="216" s="1"/>
  <c r="A65" i="216" s="1"/>
  <c r="A66" i="216" s="1"/>
  <c r="A67" i="216" s="1"/>
  <c r="A68" i="216" s="1"/>
  <c r="A71" i="216" s="1"/>
  <c r="A72" i="216" s="1"/>
  <c r="A73" i="216" s="1"/>
  <c r="A75" i="216" s="1"/>
  <c r="A76" i="216" s="1"/>
  <c r="A77" i="216" s="1"/>
  <c r="A78" i="216" s="1"/>
  <c r="A81" i="216" s="1"/>
  <c r="A82" i="216" s="1"/>
  <c r="A83" i="216" s="1"/>
  <c r="A84" i="216" s="1"/>
  <c r="A85" i="216" s="1"/>
  <c r="F11" i="216"/>
  <c r="C9" i="216"/>
  <c r="C7" i="216"/>
  <c r="A5" i="216"/>
  <c r="A2" i="216"/>
  <c r="N159" i="215"/>
  <c r="L159" i="215"/>
  <c r="C159" i="215"/>
  <c r="N158" i="215"/>
  <c r="L158" i="215"/>
  <c r="C158" i="215"/>
  <c r="N157" i="215"/>
  <c r="L157" i="215"/>
  <c r="C157" i="215"/>
  <c r="N156" i="215"/>
  <c r="L156" i="215"/>
  <c r="C156" i="215"/>
  <c r="N155" i="215"/>
  <c r="L155" i="215"/>
  <c r="C155" i="215"/>
  <c r="N154" i="215"/>
  <c r="L154" i="215"/>
  <c r="C154" i="215"/>
  <c r="N153" i="215"/>
  <c r="L153" i="215"/>
  <c r="C153" i="215"/>
  <c r="N152" i="215"/>
  <c r="L152" i="215"/>
  <c r="C152" i="215"/>
  <c r="N151" i="215"/>
  <c r="L151" i="215"/>
  <c r="C151" i="215"/>
  <c r="N150" i="215"/>
  <c r="L150" i="215"/>
  <c r="C150" i="215"/>
  <c r="N149" i="215"/>
  <c r="L149" i="215"/>
  <c r="C149" i="215"/>
  <c r="N148" i="215"/>
  <c r="L148" i="215"/>
  <c r="C148" i="215"/>
  <c r="N147" i="215"/>
  <c r="L147" i="215"/>
  <c r="C147" i="215"/>
  <c r="N146" i="215"/>
  <c r="L146" i="215"/>
  <c r="C146" i="215"/>
  <c r="N145" i="215"/>
  <c r="L145" i="215"/>
  <c r="C145" i="215"/>
  <c r="N144" i="215"/>
  <c r="L144" i="215"/>
  <c r="C144" i="215"/>
  <c r="N143" i="215"/>
  <c r="L143" i="215"/>
  <c r="C143" i="215"/>
  <c r="N142" i="215"/>
  <c r="L142" i="215"/>
  <c r="C142" i="215"/>
  <c r="N141" i="215"/>
  <c r="L141" i="215"/>
  <c r="C141" i="215"/>
  <c r="N140" i="215"/>
  <c r="L140" i="215"/>
  <c r="C140" i="215"/>
  <c r="N139" i="215"/>
  <c r="L139" i="215"/>
  <c r="C139" i="215"/>
  <c r="N138" i="215"/>
  <c r="L138" i="215"/>
  <c r="C138" i="215"/>
  <c r="N137" i="215"/>
  <c r="L137" i="215"/>
  <c r="C137" i="215"/>
  <c r="N136" i="215"/>
  <c r="L136" i="215"/>
  <c r="C136" i="215"/>
  <c r="N135" i="215"/>
  <c r="L135" i="215"/>
  <c r="C135" i="215"/>
  <c r="N134" i="215"/>
  <c r="L134" i="215"/>
  <c r="C134" i="215"/>
  <c r="N133" i="215"/>
  <c r="L133" i="215"/>
  <c r="C133" i="215"/>
  <c r="N132" i="215"/>
  <c r="L132" i="215"/>
  <c r="C132" i="215"/>
  <c r="N131" i="215"/>
  <c r="L131" i="215"/>
  <c r="C131" i="215"/>
  <c r="N130" i="215"/>
  <c r="L130" i="215"/>
  <c r="C130" i="215"/>
  <c r="N129" i="215"/>
  <c r="L129" i="215"/>
  <c r="C129" i="215"/>
  <c r="N128" i="215"/>
  <c r="L128" i="215"/>
  <c r="C128" i="215"/>
  <c r="N127" i="215"/>
  <c r="L127" i="215"/>
  <c r="C127" i="215"/>
  <c r="N126" i="215"/>
  <c r="L126" i="215"/>
  <c r="C126" i="215"/>
  <c r="N125" i="215"/>
  <c r="L125" i="215"/>
  <c r="C125" i="215"/>
  <c r="N124" i="215"/>
  <c r="L124" i="215"/>
  <c r="C124" i="215"/>
  <c r="N123" i="215"/>
  <c r="L123" i="215"/>
  <c r="C123" i="215"/>
  <c r="N122" i="215"/>
  <c r="L122" i="215"/>
  <c r="C122" i="215"/>
  <c r="N121" i="215"/>
  <c r="L121" i="215"/>
  <c r="C121" i="215"/>
  <c r="N120" i="215"/>
  <c r="L120" i="215"/>
  <c r="C120" i="215"/>
  <c r="N119" i="215"/>
  <c r="L119" i="215"/>
  <c r="C119" i="215"/>
  <c r="N118" i="215"/>
  <c r="L118" i="215"/>
  <c r="C118" i="215"/>
  <c r="N117" i="215"/>
  <c r="L117" i="215"/>
  <c r="C117" i="215"/>
  <c r="N116" i="215"/>
  <c r="L116" i="215"/>
  <c r="C116" i="215"/>
  <c r="N115" i="215"/>
  <c r="L115" i="215"/>
  <c r="C115" i="215"/>
  <c r="N114" i="215"/>
  <c r="L114" i="215"/>
  <c r="C114" i="215"/>
  <c r="N113" i="215"/>
  <c r="L113" i="215"/>
  <c r="C113" i="215"/>
  <c r="N112" i="215"/>
  <c r="L112" i="215"/>
  <c r="C112" i="215"/>
  <c r="N111" i="215"/>
  <c r="L111" i="215"/>
  <c r="C111" i="215"/>
  <c r="N110" i="215"/>
  <c r="L110" i="215"/>
  <c r="C110" i="215"/>
  <c r="N109" i="215"/>
  <c r="L109" i="215"/>
  <c r="C109" i="215"/>
  <c r="N108" i="215"/>
  <c r="L108" i="215"/>
  <c r="C108" i="215"/>
  <c r="N107" i="215"/>
  <c r="L107" i="215"/>
  <c r="C107" i="215"/>
  <c r="N106" i="215"/>
  <c r="L106" i="215"/>
  <c r="C106" i="215"/>
  <c r="N105" i="215"/>
  <c r="L105" i="215"/>
  <c r="C105" i="215"/>
  <c r="N104" i="215"/>
  <c r="L104" i="215"/>
  <c r="D104" i="215"/>
  <c r="C104" i="215"/>
  <c r="I101" i="215"/>
  <c r="K98" i="215"/>
  <c r="I98" i="215"/>
  <c r="N94" i="215"/>
  <c r="A88" i="215"/>
  <c r="F82" i="215"/>
  <c r="P34" i="215" s="1"/>
  <c r="C78" i="215"/>
  <c r="C76" i="215"/>
  <c r="C75" i="215"/>
  <c r="C73" i="215"/>
  <c r="C72" i="215"/>
  <c r="C70" i="215"/>
  <c r="C59" i="215"/>
  <c r="C58" i="215"/>
  <c r="C56" i="215"/>
  <c r="C53" i="215"/>
  <c r="C52" i="215"/>
  <c r="C49" i="215"/>
  <c r="C48" i="215"/>
  <c r="C39" i="215"/>
  <c r="C38" i="215"/>
  <c r="C27" i="215"/>
  <c r="C21" i="215"/>
  <c r="N19" i="215"/>
  <c r="M19" i="215"/>
  <c r="L19" i="215"/>
  <c r="C13" i="215"/>
  <c r="A12" i="215"/>
  <c r="A13" i="215" s="1"/>
  <c r="A14" i="215" s="1"/>
  <c r="A15" i="215" s="1"/>
  <c r="A16" i="215" s="1"/>
  <c r="A17" i="215" s="1"/>
  <c r="A18" i="215" s="1"/>
  <c r="A19" i="215" s="1"/>
  <c r="A23" i="215" s="1"/>
  <c r="A24" i="215" s="1"/>
  <c r="A25" i="215" s="1"/>
  <c r="A29" i="215" s="1"/>
  <c r="A30" i="215" s="1"/>
  <c r="A31" i="215" s="1"/>
  <c r="A32" i="215" s="1"/>
  <c r="A33" i="215" s="1"/>
  <c r="A34" i="215" s="1"/>
  <c r="A35" i="215" s="1"/>
  <c r="A36" i="215" s="1"/>
  <c r="A42" i="215" s="1"/>
  <c r="A43" i="215" s="1"/>
  <c r="A44" i="215" s="1"/>
  <c r="A45" i="215" s="1"/>
  <c r="A46" i="215" s="1"/>
  <c r="A49" i="215" s="1"/>
  <c r="A50" i="215" s="1"/>
  <c r="A51" i="215" s="1"/>
  <c r="A52" i="215" s="1"/>
  <c r="A53" i="215" s="1"/>
  <c r="A54" i="215" s="1"/>
  <c r="A55" i="215" s="1"/>
  <c r="A56" i="215" s="1"/>
  <c r="A59" i="215" s="1"/>
  <c r="A60" i="215" s="1"/>
  <c r="A61" i="215" s="1"/>
  <c r="A62" i="215" s="1"/>
  <c r="A63" i="215" s="1"/>
  <c r="A64" i="215" s="1"/>
  <c r="A65" i="215" s="1"/>
  <c r="A66" i="215" s="1"/>
  <c r="A67" i="215" s="1"/>
  <c r="A68" i="215" s="1"/>
  <c r="A71" i="215" s="1"/>
  <c r="A72" i="215" s="1"/>
  <c r="A73" i="215" s="1"/>
  <c r="A75" i="215" s="1"/>
  <c r="A76" i="215" s="1"/>
  <c r="A77" i="215" s="1"/>
  <c r="A78" i="215" s="1"/>
  <c r="A81" i="215" s="1"/>
  <c r="A82" i="215" s="1"/>
  <c r="A83" i="215" s="1"/>
  <c r="A84" i="215" s="1"/>
  <c r="A85" i="215" s="1"/>
  <c r="F11" i="215"/>
  <c r="C9" i="215"/>
  <c r="C7" i="215"/>
  <c r="A5" i="215"/>
  <c r="A2" i="215"/>
  <c r="C20" i="214"/>
  <c r="C22" i="214" s="1"/>
  <c r="A14" i="214"/>
  <c r="A16" i="214" s="1"/>
  <c r="A17" i="214" s="1"/>
  <c r="A18" i="214" s="1"/>
  <c r="A20" i="214" s="1"/>
  <c r="A22" i="214" s="1"/>
  <c r="E111" i="204" s="1"/>
  <c r="A5" i="214"/>
  <c r="A2" i="214"/>
  <c r="M54" i="213"/>
  <c r="AC52" i="213"/>
  <c r="AB52" i="213"/>
  <c r="AA52" i="213"/>
  <c r="Z52" i="213"/>
  <c r="Y52" i="213"/>
  <c r="X52" i="213"/>
  <c r="W52" i="213"/>
  <c r="V52" i="213"/>
  <c r="U52" i="213"/>
  <c r="T52" i="213"/>
  <c r="S52" i="213"/>
  <c r="R52" i="213"/>
  <c r="Q52" i="213"/>
  <c r="G52" i="213"/>
  <c r="G107" i="204" s="1"/>
  <c r="L107" i="204" s="1"/>
  <c r="E47" i="213"/>
  <c r="E45" i="213"/>
  <c r="J44" i="213"/>
  <c r="J43" i="213"/>
  <c r="J42" i="213"/>
  <c r="E37" i="213"/>
  <c r="E35" i="213"/>
  <c r="E34" i="213"/>
  <c r="I52" i="213"/>
  <c r="G106" i="204" s="1"/>
  <c r="J31" i="213"/>
  <c r="E30" i="213"/>
  <c r="E29" i="213"/>
  <c r="L17" i="213"/>
  <c r="L18" i="213" s="1"/>
  <c r="L25" i="213" s="1"/>
  <c r="L26" i="213" s="1"/>
  <c r="L27" i="213" s="1"/>
  <c r="L28" i="213" s="1"/>
  <c r="L29" i="213" s="1"/>
  <c r="L30" i="213" s="1"/>
  <c r="L31" i="213" s="1"/>
  <c r="L32" i="213" s="1"/>
  <c r="L33" i="213" s="1"/>
  <c r="L34" i="213" s="1"/>
  <c r="L35" i="213" s="1"/>
  <c r="L36" i="213" s="1"/>
  <c r="L37" i="213" s="1"/>
  <c r="L38" i="213" s="1"/>
  <c r="L39" i="213" s="1"/>
  <c r="L40" i="213" s="1"/>
  <c r="L41" i="213" s="1"/>
  <c r="L42" i="213" s="1"/>
  <c r="L43" i="213" s="1"/>
  <c r="L44" i="213" s="1"/>
  <c r="L45" i="213" s="1"/>
  <c r="L46" i="213" s="1"/>
  <c r="L47" i="213" s="1"/>
  <c r="L48" i="213" s="1"/>
  <c r="L49" i="213" s="1"/>
  <c r="L50" i="213" s="1"/>
  <c r="L52" i="213" s="1"/>
  <c r="A17" i="213"/>
  <c r="A18" i="213" s="1"/>
  <c r="A25" i="213" s="1"/>
  <c r="A5" i="213"/>
  <c r="M5" i="213" s="1"/>
  <c r="M4" i="213"/>
  <c r="A2" i="213"/>
  <c r="M2" i="213" s="1"/>
  <c r="G46" i="212"/>
  <c r="G47" i="212" s="1"/>
  <c r="G42" i="212"/>
  <c r="G43" i="212" s="1"/>
  <c r="F42" i="212"/>
  <c r="F43" i="212" s="1"/>
  <c r="F39" i="212"/>
  <c r="F46" i="212" s="1"/>
  <c r="F47" i="212" s="1"/>
  <c r="D37" i="212"/>
  <c r="D52" i="212" s="1"/>
  <c r="D36" i="212"/>
  <c r="I25" i="212"/>
  <c r="I26" i="212" s="1"/>
  <c r="H25" i="212"/>
  <c r="H26" i="212" s="1"/>
  <c r="G25" i="212"/>
  <c r="K51" i="210" s="1"/>
  <c r="F25" i="212"/>
  <c r="E26" i="212"/>
  <c r="D21" i="212"/>
  <c r="I20" i="212"/>
  <c r="I22" i="212" s="1"/>
  <c r="I29" i="212" s="1"/>
  <c r="I30" i="212" s="1"/>
  <c r="H20" i="212"/>
  <c r="H22" i="212" s="1"/>
  <c r="H29" i="212" s="1"/>
  <c r="H30" i="212" s="1"/>
  <c r="G22" i="212"/>
  <c r="G29" i="212" s="1"/>
  <c r="K51" i="209" s="1"/>
  <c r="F22" i="212"/>
  <c r="E20" i="212"/>
  <c r="A19" i="212"/>
  <c r="C20" i="212" s="1"/>
  <c r="D18" i="212"/>
  <c r="B6" i="212"/>
  <c r="B3" i="212"/>
  <c r="F56" i="211"/>
  <c r="G56" i="211" s="1"/>
  <c r="G55" i="211"/>
  <c r="G54" i="211"/>
  <c r="G53" i="211"/>
  <c r="G52" i="211"/>
  <c r="G51" i="211"/>
  <c r="G50" i="211"/>
  <c r="G49" i="211"/>
  <c r="G48" i="211"/>
  <c r="G47" i="211"/>
  <c r="G46" i="211"/>
  <c r="G45" i="211"/>
  <c r="G44" i="211"/>
  <c r="C44" i="211"/>
  <c r="D44" i="211" s="1"/>
  <c r="H39" i="211"/>
  <c r="H40" i="211" s="1"/>
  <c r="C54" i="211" s="1"/>
  <c r="F30" i="211"/>
  <c r="G30" i="211" s="1"/>
  <c r="G29" i="211"/>
  <c r="G28" i="211"/>
  <c r="G27" i="211"/>
  <c r="G26" i="211"/>
  <c r="G25" i="211"/>
  <c r="G24" i="211"/>
  <c r="G23" i="211"/>
  <c r="G22" i="211"/>
  <c r="G21" i="211"/>
  <c r="G20" i="211"/>
  <c r="G19" i="211"/>
  <c r="G18" i="211"/>
  <c r="A12" i="211"/>
  <c r="A13" i="211" s="1"/>
  <c r="E14" i="211" s="1"/>
  <c r="A4" i="211"/>
  <c r="A3" i="211"/>
  <c r="D45" i="208"/>
  <c r="D33" i="208"/>
  <c r="H204" i="209"/>
  <c r="D44" i="208" s="1"/>
  <c r="H141" i="209"/>
  <c r="D32" i="208" s="1"/>
  <c r="N140" i="209"/>
  <c r="M140" i="209"/>
  <c r="L140" i="209"/>
  <c r="J140" i="209"/>
  <c r="H46" i="209"/>
  <c r="N45" i="209"/>
  <c r="M45" i="209"/>
  <c r="L45" i="209"/>
  <c r="K45" i="209"/>
  <c r="J45" i="209"/>
  <c r="C4" i="209"/>
  <c r="C3" i="209"/>
  <c r="D61" i="208"/>
  <c r="D62" i="208" s="1"/>
  <c r="G91" i="204" s="1"/>
  <c r="G59" i="208"/>
  <c r="G61" i="208" s="1"/>
  <c r="G62" i="208" s="1"/>
  <c r="F37" i="208"/>
  <c r="E37" i="208"/>
  <c r="A20" i="208"/>
  <c r="A22" i="208" s="1"/>
  <c r="A23" i="208" s="1"/>
  <c r="A24" i="208" s="1"/>
  <c r="A25" i="208" s="1"/>
  <c r="A26" i="208" s="1"/>
  <c r="A27" i="208" s="1"/>
  <c r="A32" i="208" s="1"/>
  <c r="A33" i="208" s="1"/>
  <c r="A35" i="208" s="1"/>
  <c r="A36" i="208" s="1"/>
  <c r="A5" i="208"/>
  <c r="A2" i="208"/>
  <c r="A5" i="207"/>
  <c r="A2" i="207"/>
  <c r="G74" i="204"/>
  <c r="A12" i="206"/>
  <c r="A13" i="206" s="1"/>
  <c r="A14" i="206" s="1"/>
  <c r="A15" i="206" s="1"/>
  <c r="A16" i="206" s="1"/>
  <c r="A17" i="206" s="1"/>
  <c r="A18" i="206" s="1"/>
  <c r="A19" i="206" s="1"/>
  <c r="A20" i="206" s="1"/>
  <c r="A21" i="206" s="1"/>
  <c r="A22" i="206" s="1"/>
  <c r="A23" i="206" s="1"/>
  <c r="A24" i="206" s="1"/>
  <c r="A5" i="206"/>
  <c r="A2" i="206"/>
  <c r="I53" i="205"/>
  <c r="G94" i="204" s="1"/>
  <c r="H53" i="205"/>
  <c r="G53" i="205"/>
  <c r="L208" i="204"/>
  <c r="A12" i="205"/>
  <c r="A13" i="205" s="1"/>
  <c r="A14" i="205" s="1"/>
  <c r="A15" i="205" s="1"/>
  <c r="A16" i="205" s="1"/>
  <c r="A17" i="205" s="1"/>
  <c r="A18" i="205" s="1"/>
  <c r="A19" i="205" s="1"/>
  <c r="A20" i="205" s="1"/>
  <c r="A21" i="205" s="1"/>
  <c r="A22" i="205" s="1"/>
  <c r="A23" i="205" s="1"/>
  <c r="A24" i="205" s="1"/>
  <c r="A5" i="205"/>
  <c r="A5" i="229" s="1"/>
  <c r="A2" i="205"/>
  <c r="D274" i="204"/>
  <c r="E236" i="204"/>
  <c r="J236" i="204" s="1"/>
  <c r="L231" i="204"/>
  <c r="L230" i="204"/>
  <c r="L229" i="204"/>
  <c r="L228" i="204"/>
  <c r="L226" i="204"/>
  <c r="G219" i="204"/>
  <c r="F219" i="204"/>
  <c r="L218" i="204"/>
  <c r="H218" i="204"/>
  <c r="L217" i="204"/>
  <c r="H217" i="204"/>
  <c r="L216" i="204"/>
  <c r="H216" i="204"/>
  <c r="H215" i="204"/>
  <c r="L214" i="204"/>
  <c r="H214" i="204"/>
  <c r="G186" i="204"/>
  <c r="L186" i="204" s="1"/>
  <c r="D186" i="204"/>
  <c r="G156" i="204"/>
  <c r="G143" i="204"/>
  <c r="L125" i="204"/>
  <c r="I125" i="204"/>
  <c r="G125" i="204"/>
  <c r="E125" i="204"/>
  <c r="L124" i="204"/>
  <c r="E124" i="204"/>
  <c r="G103" i="204"/>
  <c r="G102" i="204"/>
  <c r="E102" i="204"/>
  <c r="D74" i="204"/>
  <c r="D82" i="204" s="1"/>
  <c r="G73" i="204"/>
  <c r="G72" i="204"/>
  <c r="D72" i="204"/>
  <c r="D81" i="204" s="1"/>
  <c r="G71" i="204"/>
  <c r="L71" i="204" s="1"/>
  <c r="G70" i="204"/>
  <c r="L70" i="204" s="1"/>
  <c r="D70" i="204"/>
  <c r="D80" i="204" s="1"/>
  <c r="G69" i="204"/>
  <c r="G68" i="204"/>
  <c r="D68" i="204"/>
  <c r="D79" i="204" s="1"/>
  <c r="G67" i="204"/>
  <c r="G66" i="204"/>
  <c r="L66" i="204" s="1"/>
  <c r="D66" i="204"/>
  <c r="D78" i="204" s="1"/>
  <c r="G62" i="204"/>
  <c r="G61" i="204"/>
  <c r="G60" i="204"/>
  <c r="G59" i="204"/>
  <c r="L59" i="204" s="1"/>
  <c r="G58" i="204"/>
  <c r="L58" i="204" s="1"/>
  <c r="G57" i="204"/>
  <c r="G56" i="204"/>
  <c r="G55" i="204"/>
  <c r="L55" i="204" s="1"/>
  <c r="G54" i="204"/>
  <c r="B53" i="204"/>
  <c r="B127" i="204" s="1"/>
  <c r="B52" i="204"/>
  <c r="B126" i="204" s="1"/>
  <c r="F46" i="204"/>
  <c r="F120" i="204" s="1"/>
  <c r="F200" i="204" s="1"/>
  <c r="F245" i="204" s="1"/>
  <c r="F43" i="204"/>
  <c r="F117" i="204" s="1"/>
  <c r="F197" i="204" s="1"/>
  <c r="F242" i="204" s="1"/>
  <c r="F42" i="204"/>
  <c r="F116" i="204" s="1"/>
  <c r="F196" i="204" s="1"/>
  <c r="F241" i="204" s="1"/>
  <c r="L35" i="204"/>
  <c r="M32" i="147" s="1"/>
  <c r="L23" i="204"/>
  <c r="M23" i="147" s="1"/>
  <c r="B11" i="223" s="1"/>
  <c r="L16" i="204"/>
  <c r="M18" i="147" s="1"/>
  <c r="B14" i="204"/>
  <c r="B16" i="204" s="1"/>
  <c r="E18" i="204" s="1"/>
  <c r="H48" i="205" l="1"/>
  <c r="S12" i="213"/>
  <c r="C6" i="209"/>
  <c r="U23" i="213"/>
  <c r="C58" i="208"/>
  <c r="H11" i="211"/>
  <c r="D19" i="208"/>
  <c r="AA12" i="213"/>
  <c r="AB12" i="213"/>
  <c r="C8" i="214"/>
  <c r="B20" i="214" s="1"/>
  <c r="J64" i="204"/>
  <c r="H26" i="208" s="1"/>
  <c r="H37" i="208" s="1"/>
  <c r="H51" i="208" s="1"/>
  <c r="C19" i="208"/>
  <c r="C32" i="208" s="1"/>
  <c r="AC23" i="213"/>
  <c r="J11" i="224"/>
  <c r="B21" i="224" s="1"/>
  <c r="J9" i="223"/>
  <c r="N21" i="225"/>
  <c r="O158" i="215"/>
  <c r="O136" i="215"/>
  <c r="H54" i="211"/>
  <c r="O148" i="215"/>
  <c r="O156" i="215"/>
  <c r="O128" i="215"/>
  <c r="O152" i="215"/>
  <c r="E131" i="204"/>
  <c r="N21" i="224"/>
  <c r="E104" i="204"/>
  <c r="O107" i="215"/>
  <c r="O123" i="215"/>
  <c r="O131" i="215"/>
  <c r="O151" i="215"/>
  <c r="O155" i="215"/>
  <c r="O159" i="215"/>
  <c r="O110" i="215"/>
  <c r="O114" i="215"/>
  <c r="O118" i="215"/>
  <c r="E103" i="204"/>
  <c r="O137" i="215"/>
  <c r="O141" i="215"/>
  <c r="O145" i="215"/>
  <c r="O157" i="215"/>
  <c r="O127" i="215"/>
  <c r="O135" i="215"/>
  <c r="O113" i="215"/>
  <c r="O126" i="215"/>
  <c r="O134" i="215"/>
  <c r="O138" i="215"/>
  <c r="O146" i="215"/>
  <c r="O154" i="215"/>
  <c r="O111" i="215"/>
  <c r="O115" i="215"/>
  <c r="O149" i="215"/>
  <c r="N52" i="228"/>
  <c r="L96" i="204" s="1"/>
  <c r="B86" i="222"/>
  <c r="E231" i="204"/>
  <c r="E230" i="204"/>
  <c r="E229" i="204"/>
  <c r="D236" i="204"/>
  <c r="E228" i="204"/>
  <c r="E13" i="211"/>
  <c r="O122" i="215"/>
  <c r="H44" i="211"/>
  <c r="I44" i="211" s="1"/>
  <c r="C50" i="211"/>
  <c r="H50" i="211" s="1"/>
  <c r="O112" i="215"/>
  <c r="O130" i="215"/>
  <c r="O143" i="215"/>
  <c r="O153" i="215"/>
  <c r="O120" i="215"/>
  <c r="A26" i="213"/>
  <c r="A27" i="213" s="1"/>
  <c r="A28" i="213" s="1"/>
  <c r="A29" i="213" s="1"/>
  <c r="A30" i="213" s="1"/>
  <c r="A31" i="213" s="1"/>
  <c r="A32" i="213" s="1"/>
  <c r="A33" i="213" s="1"/>
  <c r="A34" i="213" s="1"/>
  <c r="A35" i="213" s="1"/>
  <c r="A36" i="213" s="1"/>
  <c r="A37" i="213" s="1"/>
  <c r="A38" i="213" s="1"/>
  <c r="A39" i="213" s="1"/>
  <c r="A40" i="213" s="1"/>
  <c r="A41" i="213" s="1"/>
  <c r="A42" i="213" s="1"/>
  <c r="A43" i="213" s="1"/>
  <c r="A44" i="213" s="1"/>
  <c r="A45" i="213" s="1"/>
  <c r="A46" i="213" s="1"/>
  <c r="A47" i="213" s="1"/>
  <c r="A48" i="213" s="1"/>
  <c r="A49" i="213" s="1"/>
  <c r="A50" i="213" s="1"/>
  <c r="A52" i="213" s="1"/>
  <c r="O105" i="215"/>
  <c r="O144" i="215"/>
  <c r="C46" i="211"/>
  <c r="H46" i="211" s="1"/>
  <c r="O121" i="215"/>
  <c r="O139" i="215"/>
  <c r="O147" i="215"/>
  <c r="K52" i="228"/>
  <c r="G96" i="204" s="1"/>
  <c r="O106" i="215"/>
  <c r="O119" i="215"/>
  <c r="O129" i="215"/>
  <c r="O142" i="215"/>
  <c r="O150" i="215"/>
  <c r="C52" i="217"/>
  <c r="Y23" i="213"/>
  <c r="C6" i="210"/>
  <c r="F29" i="212"/>
  <c r="A44" i="221"/>
  <c r="A45" i="221" s="1"/>
  <c r="A46" i="221" s="1"/>
  <c r="A47" i="221" s="1"/>
  <c r="A48" i="221" s="1"/>
  <c r="A49" i="221" s="1"/>
  <c r="A50" i="221" s="1"/>
  <c r="A51" i="221" s="1"/>
  <c r="A52" i="221" s="1"/>
  <c r="A53" i="221" s="1"/>
  <c r="A54" i="221" s="1"/>
  <c r="A55" i="221" s="1"/>
  <c r="A56" i="221" s="1"/>
  <c r="A57" i="221" s="1"/>
  <c r="A58" i="221" s="1"/>
  <c r="A60" i="221" s="1"/>
  <c r="C63" i="221" s="1"/>
  <c r="G24" i="222"/>
  <c r="H43" i="222"/>
  <c r="F61" i="216"/>
  <c r="R31" i="216" s="1"/>
  <c r="H12" i="211"/>
  <c r="C18" i="211" s="1"/>
  <c r="L49" i="223"/>
  <c r="L52" i="223"/>
  <c r="L53" i="223"/>
  <c r="L48" i="223"/>
  <c r="L56" i="223"/>
  <c r="L57" i="223"/>
  <c r="L50" i="223"/>
  <c r="L54" i="223"/>
  <c r="L58" i="223"/>
  <c r="L51" i="223"/>
  <c r="L55" i="223"/>
  <c r="N19" i="223"/>
  <c r="F26" i="212"/>
  <c r="J12" i="210" s="1"/>
  <c r="D28" i="212"/>
  <c r="K60" i="221"/>
  <c r="G164" i="204" s="1"/>
  <c r="G60" i="221"/>
  <c r="G162" i="204" s="1"/>
  <c r="M60" i="221"/>
  <c r="G163" i="204" s="1"/>
  <c r="L163" i="204" s="1"/>
  <c r="I60" i="221"/>
  <c r="G160" i="204" s="1"/>
  <c r="F29" i="220"/>
  <c r="F300" i="204" s="1"/>
  <c r="G168" i="204" s="1"/>
  <c r="G172" i="204" s="1"/>
  <c r="M52" i="217"/>
  <c r="G14" i="204" s="1"/>
  <c r="L14" i="204" s="1"/>
  <c r="M16" i="147" s="1"/>
  <c r="F13" i="215"/>
  <c r="E18" i="215" s="1"/>
  <c r="G81" i="204"/>
  <c r="L80" i="204"/>
  <c r="G78" i="204"/>
  <c r="G75" i="204"/>
  <c r="J52" i="213"/>
  <c r="G105" i="204" s="1"/>
  <c r="E52" i="213"/>
  <c r="G108" i="204" s="1"/>
  <c r="L108" i="204" s="1"/>
  <c r="I48" i="205"/>
  <c r="A3" i="206"/>
  <c r="K19" i="215"/>
  <c r="H8" i="227"/>
  <c r="T12" i="213"/>
  <c r="V23" i="213"/>
  <c r="V12" i="213"/>
  <c r="X23" i="213"/>
  <c r="A6" i="211"/>
  <c r="W12" i="213"/>
  <c r="J46" i="228"/>
  <c r="J11" i="225"/>
  <c r="U12" i="213"/>
  <c r="AC12" i="213"/>
  <c r="W23" i="213"/>
  <c r="F9" i="227"/>
  <c r="F6" i="204"/>
  <c r="F44" i="204" s="1"/>
  <c r="F118" i="204" s="1"/>
  <c r="F198" i="204" s="1"/>
  <c r="F243" i="204" s="1"/>
  <c r="C59" i="208"/>
  <c r="X12" i="213"/>
  <c r="R23" i="213"/>
  <c r="Z23" i="213"/>
  <c r="D11" i="219"/>
  <c r="B7" i="220"/>
  <c r="C20" i="208"/>
  <c r="C33" i="208" s="1"/>
  <c r="Q12" i="213"/>
  <c r="Y12" i="213"/>
  <c r="S23" i="213"/>
  <c r="AA23" i="213"/>
  <c r="A3" i="205"/>
  <c r="A3" i="208" s="1"/>
  <c r="G48" i="205"/>
  <c r="R12" i="213"/>
  <c r="Z12" i="213"/>
  <c r="T23" i="213"/>
  <c r="AB23" i="213"/>
  <c r="C65" i="222"/>
  <c r="A3" i="227"/>
  <c r="G26" i="212"/>
  <c r="J51" i="210" s="1"/>
  <c r="D24" i="212"/>
  <c r="D47" i="208"/>
  <c r="D48" i="208" s="1"/>
  <c r="G90" i="204" s="1"/>
  <c r="D41" i="212"/>
  <c r="O104" i="215"/>
  <c r="G30" i="212"/>
  <c r="J51" i="209" s="1"/>
  <c r="B50" i="222"/>
  <c r="I8" i="228"/>
  <c r="G11" i="218"/>
  <c r="G9" i="227"/>
  <c r="I46" i="228"/>
  <c r="A37" i="208"/>
  <c r="A38" i="208" s="1"/>
  <c r="A44" i="208" s="1"/>
  <c r="A45" i="208" s="1"/>
  <c r="A47" i="208" s="1"/>
  <c r="A48" i="208" s="1"/>
  <c r="C81" i="216"/>
  <c r="S34" i="216" s="1"/>
  <c r="C81" i="215"/>
  <c r="Q33" i="215" s="1"/>
  <c r="A31" i="205"/>
  <c r="A32" i="205" s="1"/>
  <c r="A33" i="205" s="1"/>
  <c r="A34" i="205" s="1"/>
  <c r="A35" i="205" s="1"/>
  <c r="A36" i="205" s="1"/>
  <c r="A37" i="205" s="1"/>
  <c r="A38" i="205" s="1"/>
  <c r="A39" i="205" s="1"/>
  <c r="A40" i="205" s="1"/>
  <c r="A41" i="205" s="1"/>
  <c r="A42" i="205" s="1"/>
  <c r="A43" i="205" s="1"/>
  <c r="A44" i="205" s="1"/>
  <c r="E66" i="204"/>
  <c r="E54" i="204"/>
  <c r="E58" i="204"/>
  <c r="E59" i="204"/>
  <c r="E67" i="204"/>
  <c r="E57" i="204"/>
  <c r="E55" i="204"/>
  <c r="E69" i="204"/>
  <c r="A31" i="206"/>
  <c r="A32" i="206" s="1"/>
  <c r="A33" i="206" s="1"/>
  <c r="A34" i="206" s="1"/>
  <c r="A35" i="206" s="1"/>
  <c r="A36" i="206" s="1"/>
  <c r="A37" i="206" s="1"/>
  <c r="A38" i="206" s="1"/>
  <c r="A39" i="206" s="1"/>
  <c r="A40" i="206" s="1"/>
  <c r="A41" i="206" s="1"/>
  <c r="A42" i="206" s="1"/>
  <c r="A43" i="206" s="1"/>
  <c r="A44" i="206" s="1"/>
  <c r="E71" i="204"/>
  <c r="E70" i="204"/>
  <c r="G82" i="204"/>
  <c r="G80" i="204"/>
  <c r="B18" i="204"/>
  <c r="B23" i="204" s="1"/>
  <c r="B25" i="204" s="1"/>
  <c r="B26" i="204" s="1"/>
  <c r="H219" i="204"/>
  <c r="A46" i="220"/>
  <c r="A48" i="220" s="1"/>
  <c r="A50" i="220" s="1"/>
  <c r="A51" i="220" s="1"/>
  <c r="D47" i="220"/>
  <c r="L67" i="204"/>
  <c r="D45" i="212"/>
  <c r="E17" i="216"/>
  <c r="R19" i="216" s="1"/>
  <c r="E17" i="215"/>
  <c r="P18" i="215" s="1"/>
  <c r="G79" i="204"/>
  <c r="L206" i="204"/>
  <c r="G63" i="204"/>
  <c r="G134" i="204"/>
  <c r="D20" i="212"/>
  <c r="D51" i="212" s="1"/>
  <c r="D53" i="212" s="1"/>
  <c r="E22" i="212"/>
  <c r="L54" i="204"/>
  <c r="E88" i="204"/>
  <c r="L232" i="204"/>
  <c r="E237" i="204" s="1"/>
  <c r="D35" i="208"/>
  <c r="D36" i="208" s="1"/>
  <c r="G89" i="204" s="1"/>
  <c r="D52" i="213"/>
  <c r="P52" i="213"/>
  <c r="A14" i="211"/>
  <c r="A18" i="211" s="1"/>
  <c r="A19" i="211" s="1"/>
  <c r="A20" i="211" s="1"/>
  <c r="A21" i="211" s="1"/>
  <c r="A22" i="211" s="1"/>
  <c r="A23" i="211" s="1"/>
  <c r="A24" i="211" s="1"/>
  <c r="A25" i="211" s="1"/>
  <c r="A26" i="211" s="1"/>
  <c r="A27" i="211" s="1"/>
  <c r="A28" i="211" s="1"/>
  <c r="A29" i="211" s="1"/>
  <c r="A30" i="211" s="1"/>
  <c r="A32" i="211" s="1"/>
  <c r="C55" i="211"/>
  <c r="H55" i="211" s="1"/>
  <c r="C51" i="211"/>
  <c r="H51" i="211" s="1"/>
  <c r="C47" i="211"/>
  <c r="H47" i="211" s="1"/>
  <c r="C56" i="211"/>
  <c r="H56" i="211" s="1"/>
  <c r="C52" i="211"/>
  <c r="H52" i="211" s="1"/>
  <c r="C48" i="211"/>
  <c r="H48" i="211" s="1"/>
  <c r="C53" i="211"/>
  <c r="H53" i="211" s="1"/>
  <c r="C49" i="211"/>
  <c r="H49" i="211" s="1"/>
  <c r="C45" i="211"/>
  <c r="H45" i="211" s="1"/>
  <c r="F81" i="216"/>
  <c r="R34" i="216" s="1"/>
  <c r="F81" i="215"/>
  <c r="F13" i="216"/>
  <c r="E18" i="216" s="1"/>
  <c r="A30" i="222"/>
  <c r="A31" i="222" s="1"/>
  <c r="A32" i="222" s="1"/>
  <c r="A33" i="222" s="1"/>
  <c r="A34" i="222" s="1"/>
  <c r="A35" i="222" s="1"/>
  <c r="A36" i="222" s="1"/>
  <c r="A37" i="222" s="1"/>
  <c r="A38" i="222" s="1"/>
  <c r="A39" i="222" s="1"/>
  <c r="A40" i="222" s="1"/>
  <c r="A41" i="222" s="1"/>
  <c r="A42" i="222" s="1"/>
  <c r="A43" i="222" s="1"/>
  <c r="O109" i="215"/>
  <c r="O117" i="215"/>
  <c r="O125" i="215"/>
  <c r="O133" i="215"/>
  <c r="A20" i="212"/>
  <c r="D25" i="212"/>
  <c r="O108" i="215"/>
  <c r="O116" i="215"/>
  <c r="O124" i="215"/>
  <c r="O132" i="215"/>
  <c r="O140" i="215"/>
  <c r="K40" i="220"/>
  <c r="I40" i="220"/>
  <c r="E104" i="215"/>
  <c r="H18" i="227"/>
  <c r="G98" i="204" s="1"/>
  <c r="B14" i="218"/>
  <c r="B15" i="218" s="1"/>
  <c r="B16" i="218" s="1"/>
  <c r="B17" i="218" s="1"/>
  <c r="B18" i="218" s="1"/>
  <c r="B19" i="218" s="1"/>
  <c r="B20" i="218" s="1"/>
  <c r="B21" i="218" s="1"/>
  <c r="E132" i="204" s="1"/>
  <c r="E78" i="222"/>
  <c r="A26" i="226"/>
  <c r="A27" i="226" s="1"/>
  <c r="A28" i="226" s="1"/>
  <c r="A29" i="226" s="1"/>
  <c r="A30" i="226" s="1"/>
  <c r="A31" i="226" s="1"/>
  <c r="A32" i="226" s="1"/>
  <c r="A33" i="226" s="1"/>
  <c r="A34" i="226" s="1"/>
  <c r="A35" i="226" s="1"/>
  <c r="A36" i="226" s="1"/>
  <c r="A39" i="226" s="1"/>
  <c r="B24" i="228"/>
  <c r="B23" i="228"/>
  <c r="B22" i="228"/>
  <c r="B21" i="228"/>
  <c r="B25" i="228"/>
  <c r="K12" i="209" l="1"/>
  <c r="K12" i="210"/>
  <c r="E235" i="204"/>
  <c r="E238" i="204" s="1"/>
  <c r="B10" i="214"/>
  <c r="B22" i="214"/>
  <c r="C44" i="208"/>
  <c r="A3" i="214"/>
  <c r="A3" i="220"/>
  <c r="A3" i="221"/>
  <c r="B4" i="212"/>
  <c r="A3" i="218"/>
  <c r="A3" i="222"/>
  <c r="A3" i="207"/>
  <c r="B5" i="224"/>
  <c r="I45" i="211"/>
  <c r="I46" i="211" s="1"/>
  <c r="I47" i="211" s="1"/>
  <c r="I48" i="211" s="1"/>
  <c r="I49" i="211" s="1"/>
  <c r="I50" i="211" s="1"/>
  <c r="I51" i="211" s="1"/>
  <c r="I52" i="211" s="1"/>
  <c r="I53" i="211" s="1"/>
  <c r="I54" i="211" s="1"/>
  <c r="I55" i="211" s="1"/>
  <c r="I56" i="211" s="1"/>
  <c r="I58" i="211" s="1"/>
  <c r="A3" i="219"/>
  <c r="C45" i="208"/>
  <c r="E108" i="204"/>
  <c r="E105" i="204"/>
  <c r="E107" i="204"/>
  <c r="E106" i="204"/>
  <c r="I97" i="215"/>
  <c r="P12" i="215"/>
  <c r="L174" i="204"/>
  <c r="L179" i="204" s="1"/>
  <c r="F21" i="218"/>
  <c r="H13" i="211"/>
  <c r="H14" i="211" s="1"/>
  <c r="C27" i="211" s="1"/>
  <c r="H27" i="211" s="1"/>
  <c r="F30" i="212"/>
  <c r="J12" i="209" s="1"/>
  <c r="B31" i="224"/>
  <c r="B25" i="224"/>
  <c r="A6" i="226"/>
  <c r="J12" i="224"/>
  <c r="B36" i="224" s="1"/>
  <c r="A3" i="215"/>
  <c r="A4" i="217"/>
  <c r="B5" i="223"/>
  <c r="B24" i="224"/>
  <c r="B23" i="224"/>
  <c r="A3" i="228"/>
  <c r="A3" i="216"/>
  <c r="B5" i="225"/>
  <c r="A3" i="213"/>
  <c r="M3" i="213" s="1"/>
  <c r="H18" i="211"/>
  <c r="I18" i="211" s="1"/>
  <c r="D18" i="211"/>
  <c r="D22" i="208"/>
  <c r="D23" i="208" s="1"/>
  <c r="D25" i="208" s="1"/>
  <c r="M61" i="221"/>
  <c r="G165" i="204"/>
  <c r="D26" i="212"/>
  <c r="F30" i="216"/>
  <c r="R22" i="216" s="1"/>
  <c r="F30" i="215"/>
  <c r="P21" i="215" s="1"/>
  <c r="G83" i="204"/>
  <c r="B29" i="224"/>
  <c r="B28" i="224"/>
  <c r="B27" i="224"/>
  <c r="B22" i="224"/>
  <c r="B32" i="224"/>
  <c r="B26" i="224"/>
  <c r="B19" i="223"/>
  <c r="C13" i="226" s="1"/>
  <c r="B30" i="223"/>
  <c r="C24" i="226" s="1"/>
  <c r="B26" i="223"/>
  <c r="C20" i="226" s="1"/>
  <c r="B22" i="223"/>
  <c r="C16" i="226" s="1"/>
  <c r="J10" i="223"/>
  <c r="B9" i="223" s="1"/>
  <c r="B29" i="223"/>
  <c r="C23" i="226" s="1"/>
  <c r="B25" i="223"/>
  <c r="C19" i="226" s="1"/>
  <c r="B21" i="223"/>
  <c r="C15" i="226" s="1"/>
  <c r="B28" i="223"/>
  <c r="C22" i="226" s="1"/>
  <c r="B24" i="223"/>
  <c r="C18" i="226" s="1"/>
  <c r="B20" i="223"/>
  <c r="C14" i="226" s="1"/>
  <c r="B27" i="223"/>
  <c r="C21" i="226" s="1"/>
  <c r="B23" i="223"/>
  <c r="C17" i="226" s="1"/>
  <c r="B31" i="225"/>
  <c r="B27" i="225"/>
  <c r="B23" i="225"/>
  <c r="B29" i="225"/>
  <c r="B30" i="225"/>
  <c r="B26" i="225"/>
  <c r="J12" i="225"/>
  <c r="B11" i="225" s="1"/>
  <c r="B25" i="225"/>
  <c r="B22" i="225"/>
  <c r="B32" i="225"/>
  <c r="B28" i="225"/>
  <c r="B24" i="225"/>
  <c r="B21" i="225"/>
  <c r="B30" i="224"/>
  <c r="D50" i="208"/>
  <c r="E73" i="204"/>
  <c r="A46" i="206"/>
  <c r="E68" i="204" s="1"/>
  <c r="E74" i="204"/>
  <c r="E72" i="204"/>
  <c r="A21" i="212"/>
  <c r="C22" i="212" s="1"/>
  <c r="C51" i="212"/>
  <c r="E29" i="212"/>
  <c r="D22" i="212"/>
  <c r="D45" i="211"/>
  <c r="D46" i="211" s="1"/>
  <c r="D47" i="211" s="1"/>
  <c r="D48" i="211" s="1"/>
  <c r="D49" i="211" s="1"/>
  <c r="D50" i="211" s="1"/>
  <c r="D51" i="211" s="1"/>
  <c r="D52" i="211" s="1"/>
  <c r="D53" i="211" s="1"/>
  <c r="D54" i="211" s="1"/>
  <c r="D55" i="211" s="1"/>
  <c r="D56" i="211" s="1"/>
  <c r="D58" i="211" s="1"/>
  <c r="A52" i="220"/>
  <c r="A53" i="220" s="1"/>
  <c r="D208" i="204"/>
  <c r="A53" i="205"/>
  <c r="E94" i="204" s="1"/>
  <c r="A52" i="205"/>
  <c r="D207" i="204"/>
  <c r="A51" i="205"/>
  <c r="E62" i="204"/>
  <c r="E60" i="204"/>
  <c r="E61" i="204"/>
  <c r="A50" i="205"/>
  <c r="E89" i="204"/>
  <c r="A50" i="222"/>
  <c r="A51" i="222" s="1"/>
  <c r="D235" i="204"/>
  <c r="B34" i="211"/>
  <c r="A34" i="211"/>
  <c r="A49" i="208"/>
  <c r="A50" i="208" s="1"/>
  <c r="A51" i="208" s="1"/>
  <c r="A52" i="208" s="1"/>
  <c r="A58" i="208" s="1"/>
  <c r="A59" i="208" s="1"/>
  <c r="A61" i="208" s="1"/>
  <c r="A62" i="208" s="1"/>
  <c r="B46" i="206"/>
  <c r="L78" i="204"/>
  <c r="B39" i="226"/>
  <c r="P33" i="215"/>
  <c r="F83" i="215"/>
  <c r="F84" i="215" s="1"/>
  <c r="F85" i="215" s="1"/>
  <c r="G179" i="204"/>
  <c r="G180" i="204"/>
  <c r="L180" i="204"/>
  <c r="G178" i="204"/>
  <c r="B27" i="228"/>
  <c r="E133" i="204"/>
  <c r="F83" i="216"/>
  <c r="F84" i="216" s="1"/>
  <c r="F85" i="216" s="1"/>
  <c r="G101" i="204"/>
  <c r="G109" i="204" s="1"/>
  <c r="E27" i="204"/>
  <c r="B27" i="204"/>
  <c r="B29" i="204" s="1"/>
  <c r="D29" i="204"/>
  <c r="F104" i="215"/>
  <c r="G111" i="204"/>
  <c r="L111" i="204" s="1"/>
  <c r="B33" i="228" l="1"/>
  <c r="B34" i="228"/>
  <c r="B31" i="228"/>
  <c r="B32" i="228"/>
  <c r="B29" i="228"/>
  <c r="B30" i="228"/>
  <c r="C53" i="220"/>
  <c r="I60" i="211"/>
  <c r="F49" i="208" s="1"/>
  <c r="B39" i="224"/>
  <c r="C24" i="211"/>
  <c r="H24" i="211" s="1"/>
  <c r="C22" i="211"/>
  <c r="H22" i="211" s="1"/>
  <c r="B37" i="224"/>
  <c r="B11" i="224"/>
  <c r="B35" i="224"/>
  <c r="J13" i="224"/>
  <c r="C28" i="211"/>
  <c r="H28" i="211" s="1"/>
  <c r="C20" i="211"/>
  <c r="H20" i="211" s="1"/>
  <c r="C26" i="211"/>
  <c r="H26" i="211" s="1"/>
  <c r="C30" i="211"/>
  <c r="H30" i="211" s="1"/>
  <c r="C29" i="211"/>
  <c r="H29" i="211" s="1"/>
  <c r="C21" i="211"/>
  <c r="H21" i="211" s="1"/>
  <c r="C19" i="211"/>
  <c r="H19" i="211" s="1"/>
  <c r="I19" i="211" s="1"/>
  <c r="C23" i="211"/>
  <c r="H23" i="211" s="1"/>
  <c r="C25" i="211"/>
  <c r="H25" i="211" s="1"/>
  <c r="B38" i="224"/>
  <c r="B40" i="224"/>
  <c r="A118" i="219"/>
  <c r="A119" i="219" s="1"/>
  <c r="A120" i="219" s="1"/>
  <c r="A121" i="219" s="1"/>
  <c r="E144" i="204"/>
  <c r="G88" i="204"/>
  <c r="G92" i="204" s="1"/>
  <c r="G113" i="204" s="1"/>
  <c r="B35" i="225"/>
  <c r="J13" i="225"/>
  <c r="B38" i="225"/>
  <c r="B36" i="225"/>
  <c r="B40" i="225"/>
  <c r="B37" i="225"/>
  <c r="B39" i="225"/>
  <c r="B38" i="223"/>
  <c r="C30" i="226" s="1"/>
  <c r="B35" i="223"/>
  <c r="C27" i="226" s="1"/>
  <c r="B41" i="223"/>
  <c r="C33" i="226" s="1"/>
  <c r="B39" i="223"/>
  <c r="C31" i="226" s="1"/>
  <c r="B34" i="223"/>
  <c r="C26" i="226" s="1"/>
  <c r="B44" i="223"/>
  <c r="C36" i="226" s="1"/>
  <c r="B42" i="223"/>
  <c r="C34" i="226" s="1"/>
  <c r="B40" i="223"/>
  <c r="C32" i="226" s="1"/>
  <c r="B37" i="223"/>
  <c r="C29" i="226" s="1"/>
  <c r="B43" i="223"/>
  <c r="C35" i="226" s="1"/>
  <c r="J11" i="223"/>
  <c r="B33" i="223"/>
  <c r="C25" i="226" s="1"/>
  <c r="B36" i="223"/>
  <c r="C28" i="226" s="1"/>
  <c r="F35" i="216"/>
  <c r="R25" i="216" s="1"/>
  <c r="F35" i="215"/>
  <c r="P24" i="215" s="1"/>
  <c r="A37" i="211"/>
  <c r="C24" i="208"/>
  <c r="A63" i="208"/>
  <c r="A64" i="208" s="1"/>
  <c r="E91" i="204" s="1"/>
  <c r="B40" i="220"/>
  <c r="C61" i="216"/>
  <c r="S31" i="216" s="1"/>
  <c r="C61" i="215"/>
  <c r="Q30" i="215" s="1"/>
  <c r="A22" i="212"/>
  <c r="C25" i="212"/>
  <c r="D105" i="215"/>
  <c r="E105" i="215" s="1"/>
  <c r="E30" i="212"/>
  <c r="D30" i="212" s="1"/>
  <c r="D29" i="212"/>
  <c r="F34" i="216"/>
  <c r="R24" i="216" s="1"/>
  <c r="F34" i="215"/>
  <c r="P23" i="215" s="1"/>
  <c r="B35" i="228"/>
  <c r="B28" i="228"/>
  <c r="E79" i="222"/>
  <c r="E81" i="222" s="1"/>
  <c r="E82" i="222" s="1"/>
  <c r="E53" i="222" s="1"/>
  <c r="E58" i="222" s="1"/>
  <c r="G235" i="204"/>
  <c r="G236" i="204"/>
  <c r="G237" i="204"/>
  <c r="D32" i="204"/>
  <c r="B30" i="204"/>
  <c r="E90" i="204"/>
  <c r="A52" i="222"/>
  <c r="A53" i="222" s="1"/>
  <c r="A54" i="222" s="1"/>
  <c r="A55" i="222" s="1"/>
  <c r="A56" i="222" s="1"/>
  <c r="A57" i="222" s="1"/>
  <c r="A58" i="222" s="1"/>
  <c r="I20" i="211" l="1"/>
  <c r="I21" i="211" s="1"/>
  <c r="I22" i="211" s="1"/>
  <c r="I23" i="211" s="1"/>
  <c r="I24" i="211" s="1"/>
  <c r="I25" i="211" s="1"/>
  <c r="I26" i="211" s="1"/>
  <c r="I27" i="211" s="1"/>
  <c r="I28" i="211" s="1"/>
  <c r="I29" i="211" s="1"/>
  <c r="I30" i="211" s="1"/>
  <c r="I32" i="211" s="1"/>
  <c r="D19" i="211"/>
  <c r="D20" i="211" s="1"/>
  <c r="D21" i="211" s="1"/>
  <c r="D22" i="211" s="1"/>
  <c r="D23" i="211" s="1"/>
  <c r="D24" i="211" s="1"/>
  <c r="D25" i="211" s="1"/>
  <c r="D26" i="211" s="1"/>
  <c r="D27" i="211" s="1"/>
  <c r="D28" i="211" s="1"/>
  <c r="D29" i="211" s="1"/>
  <c r="D30" i="211" s="1"/>
  <c r="D32" i="211" s="1"/>
  <c r="A122" i="219"/>
  <c r="A124" i="219" s="1"/>
  <c r="D16" i="216"/>
  <c r="R16" i="216" s="1"/>
  <c r="D16" i="215"/>
  <c r="P15" i="215" s="1"/>
  <c r="D18" i="215"/>
  <c r="P19" i="215" s="1"/>
  <c r="D18" i="216"/>
  <c r="R20" i="216" s="1"/>
  <c r="D17" i="216"/>
  <c r="R18" i="216" s="1"/>
  <c r="D17" i="215"/>
  <c r="P16" i="215" s="1"/>
  <c r="B59" i="223"/>
  <c r="B58" i="223"/>
  <c r="B50" i="223"/>
  <c r="B51" i="223"/>
  <c r="B57" i="223"/>
  <c r="B56" i="223"/>
  <c r="B53" i="223"/>
  <c r="B48" i="223"/>
  <c r="B54" i="223"/>
  <c r="B49" i="223"/>
  <c r="B52" i="223"/>
  <c r="B55" i="223"/>
  <c r="A24" i="212"/>
  <c r="C29" i="212"/>
  <c r="E60" i="222"/>
  <c r="J235" i="204" s="1"/>
  <c r="L225" i="204"/>
  <c r="B60" i="222"/>
  <c r="A60" i="222"/>
  <c r="A63" i="222" s="1"/>
  <c r="E225" i="204"/>
  <c r="B58" i="222"/>
  <c r="B37" i="228"/>
  <c r="E141" i="204"/>
  <c r="A38" i="211"/>
  <c r="A39" i="211" s="1"/>
  <c r="L237" i="204"/>
  <c r="C77" i="216"/>
  <c r="S33" i="216" s="1"/>
  <c r="C77" i="215"/>
  <c r="Q32" i="215" s="1"/>
  <c r="B32" i="204"/>
  <c r="B33" i="204" s="1"/>
  <c r="B105" i="215"/>
  <c r="F105" i="215"/>
  <c r="L236" i="204"/>
  <c r="F82" i="129"/>
  <c r="R35" i="129" s="1"/>
  <c r="F82" i="143"/>
  <c r="P34" i="143" s="1"/>
  <c r="I34" i="211" l="1"/>
  <c r="G24" i="208" s="1"/>
  <c r="A127" i="219"/>
  <c r="A128" i="219" s="1"/>
  <c r="A129" i="219" s="1"/>
  <c r="E145" i="204"/>
  <c r="F18" i="215"/>
  <c r="E39" i="211"/>
  <c r="B35" i="204"/>
  <c r="B20" i="204"/>
  <c r="E16" i="216"/>
  <c r="R17" i="216" s="1"/>
  <c r="E16" i="215"/>
  <c r="P17" i="215" s="1"/>
  <c r="L235" i="204"/>
  <c r="F17" i="215"/>
  <c r="F18" i="216"/>
  <c r="A25" i="212"/>
  <c r="A26" i="212" s="1"/>
  <c r="A28" i="212" s="1"/>
  <c r="B38" i="228"/>
  <c r="B40" i="228"/>
  <c r="B39" i="228"/>
  <c r="E40" i="211"/>
  <c r="A40" i="211"/>
  <c r="A44" i="211" s="1"/>
  <c r="A45" i="211" s="1"/>
  <c r="A46" i="211" s="1"/>
  <c r="A47" i="211" s="1"/>
  <c r="A48" i="211" s="1"/>
  <c r="A49" i="211" s="1"/>
  <c r="A50" i="211" s="1"/>
  <c r="A51" i="211" s="1"/>
  <c r="A52" i="211" s="1"/>
  <c r="A53" i="211" s="1"/>
  <c r="A54" i="211" s="1"/>
  <c r="A55" i="211" s="1"/>
  <c r="A56" i="211" s="1"/>
  <c r="A58" i="211" s="1"/>
  <c r="A66" i="222"/>
  <c r="D65" i="222"/>
  <c r="F17" i="216"/>
  <c r="H105" i="215"/>
  <c r="D106" i="215"/>
  <c r="G105" i="215"/>
  <c r="F30" i="145"/>
  <c r="H30" i="203"/>
  <c r="L226" i="86"/>
  <c r="I105" i="215" l="1"/>
  <c r="C26" i="212"/>
  <c r="A130" i="219"/>
  <c r="A131" i="219" s="1"/>
  <c r="A132" i="219" s="1"/>
  <c r="A133" i="219" s="1"/>
  <c r="A134" i="219" s="1"/>
  <c r="B106" i="215"/>
  <c r="B47" i="228"/>
  <c r="B49" i="228"/>
  <c r="B46" i="228"/>
  <c r="B52" i="228" s="1"/>
  <c r="E96" i="204" s="1"/>
  <c r="B51" i="228"/>
  <c r="B50" i="228"/>
  <c r="B48" i="228"/>
  <c r="E147" i="204"/>
  <c r="A67" i="222"/>
  <c r="A68" i="222" s="1"/>
  <c r="A69" i="222" s="1"/>
  <c r="A70" i="222" s="1"/>
  <c r="A71" i="222" s="1"/>
  <c r="A72" i="222" s="1"/>
  <c r="A73" i="222" s="1"/>
  <c r="A74" i="222" s="1"/>
  <c r="A75" i="222" s="1"/>
  <c r="A76" i="222" s="1"/>
  <c r="L238" i="204"/>
  <c r="F16" i="215"/>
  <c r="E106" i="215"/>
  <c r="F106" i="215" s="1"/>
  <c r="F16" i="216"/>
  <c r="B60" i="211"/>
  <c r="A60" i="211"/>
  <c r="C49" i="208" s="1"/>
  <c r="A29" i="212"/>
  <c r="A30" i="212" s="1"/>
  <c r="A36" i="212" s="1"/>
  <c r="D259" i="204"/>
  <c r="B54" i="204"/>
  <c r="C65" i="203"/>
  <c r="B50" i="203"/>
  <c r="A5" i="203"/>
  <c r="A2" i="203"/>
  <c r="D76" i="203"/>
  <c r="C76" i="203"/>
  <c r="E52" i="203" s="1"/>
  <c r="F75" i="203"/>
  <c r="E74" i="203"/>
  <c r="E73" i="203"/>
  <c r="E72" i="203"/>
  <c r="E71" i="203"/>
  <c r="E70" i="203"/>
  <c r="E69" i="203"/>
  <c r="E68" i="203"/>
  <c r="E67" i="203"/>
  <c r="H42" i="203"/>
  <c r="H41" i="203"/>
  <c r="H40" i="203"/>
  <c r="H39" i="203"/>
  <c r="H38" i="203"/>
  <c r="H37" i="203"/>
  <c r="H36" i="203"/>
  <c r="H35" i="203"/>
  <c r="H34" i="203"/>
  <c r="H33" i="203"/>
  <c r="H32" i="203"/>
  <c r="H31" i="203"/>
  <c r="L231" i="86"/>
  <c r="L230" i="86"/>
  <c r="A12" i="203"/>
  <c r="A13" i="203" s="1"/>
  <c r="A14" i="203" s="1"/>
  <c r="A15" i="203" s="1"/>
  <c r="A16" i="203" s="1"/>
  <c r="A17" i="203" s="1"/>
  <c r="A18" i="203" s="1"/>
  <c r="A19" i="203" s="1"/>
  <c r="A20" i="203" s="1"/>
  <c r="A21" i="203" s="1"/>
  <c r="A22" i="203" s="1"/>
  <c r="A23" i="203" s="1"/>
  <c r="A24" i="203" s="1"/>
  <c r="B86" i="203" s="1"/>
  <c r="E102" i="86"/>
  <c r="D23" i="74"/>
  <c r="M54" i="74"/>
  <c r="L17" i="74"/>
  <c r="L18" i="74" s="1"/>
  <c r="L25" i="74" s="1"/>
  <c r="G102" i="86"/>
  <c r="A17" i="74"/>
  <c r="E103" i="86" s="1"/>
  <c r="M4" i="74"/>
  <c r="AC12" i="74"/>
  <c r="AB12" i="74"/>
  <c r="AA12" i="74"/>
  <c r="Z12" i="74"/>
  <c r="Y12" i="74"/>
  <c r="X12" i="74"/>
  <c r="W12" i="74"/>
  <c r="V12" i="74"/>
  <c r="U12" i="74"/>
  <c r="T12" i="74"/>
  <c r="S12" i="74"/>
  <c r="R12" i="74"/>
  <c r="Q12" i="74"/>
  <c r="N45" i="74"/>
  <c r="M45" i="74"/>
  <c r="N44" i="74"/>
  <c r="M44" i="74"/>
  <c r="N43" i="74"/>
  <c r="M43" i="74"/>
  <c r="N42" i="74"/>
  <c r="M42" i="74"/>
  <c r="N41" i="74"/>
  <c r="M41" i="74"/>
  <c r="N40" i="74"/>
  <c r="M40" i="74"/>
  <c r="N39" i="74"/>
  <c r="M39" i="74"/>
  <c r="N38" i="74"/>
  <c r="M38" i="74"/>
  <c r="N37" i="74"/>
  <c r="M37" i="74"/>
  <c r="N36" i="74"/>
  <c r="M36" i="74"/>
  <c r="N35" i="74"/>
  <c r="M35" i="74"/>
  <c r="N34" i="74"/>
  <c r="M34" i="74"/>
  <c r="N33" i="74"/>
  <c r="M33" i="74"/>
  <c r="N32" i="74"/>
  <c r="M32" i="74"/>
  <c r="N31" i="74"/>
  <c r="M31" i="74"/>
  <c r="N30" i="74"/>
  <c r="M30" i="74"/>
  <c r="N29" i="74"/>
  <c r="M29" i="74"/>
  <c r="N28" i="74"/>
  <c r="M28" i="74"/>
  <c r="N27" i="74"/>
  <c r="M27" i="74"/>
  <c r="N25" i="74"/>
  <c r="M25" i="74"/>
  <c r="R52" i="74"/>
  <c r="S52" i="74"/>
  <c r="T52" i="74"/>
  <c r="U52" i="74"/>
  <c r="V52" i="74"/>
  <c r="W52" i="74"/>
  <c r="X52" i="74"/>
  <c r="Y52" i="74"/>
  <c r="Z52" i="74"/>
  <c r="AA52" i="74"/>
  <c r="AB52" i="74"/>
  <c r="AC52" i="74"/>
  <c r="Q52" i="74"/>
  <c r="AC23" i="74"/>
  <c r="AB23" i="74"/>
  <c r="AA23" i="74"/>
  <c r="Z23" i="74"/>
  <c r="Y23" i="74"/>
  <c r="X23" i="74"/>
  <c r="W23" i="74"/>
  <c r="V23" i="74"/>
  <c r="U23" i="74"/>
  <c r="T23" i="74"/>
  <c r="S23" i="74"/>
  <c r="R23" i="74"/>
  <c r="Q23" i="74"/>
  <c r="G169" i="204" l="1"/>
  <c r="L26" i="74"/>
  <c r="L27" i="74" s="1"/>
  <c r="L28" i="74" s="1"/>
  <c r="L29" i="74" s="1"/>
  <c r="L30" i="74" s="1"/>
  <c r="L31" i="74" s="1"/>
  <c r="L32" i="74" s="1"/>
  <c r="L33" i="74" s="1"/>
  <c r="L34" i="74" s="1"/>
  <c r="L35" i="74" s="1"/>
  <c r="L36" i="74" s="1"/>
  <c r="L37" i="74" s="1"/>
  <c r="L38" i="74" s="1"/>
  <c r="L39" i="74" s="1"/>
  <c r="L40" i="74" s="1"/>
  <c r="L41" i="74" s="1"/>
  <c r="L42" i="74" s="1"/>
  <c r="L43" i="74" s="1"/>
  <c r="L44" i="74" s="1"/>
  <c r="L45" i="74" s="1"/>
  <c r="L46" i="74" s="1"/>
  <c r="L47" i="74" s="1"/>
  <c r="L48" i="74" s="1"/>
  <c r="L49" i="74" s="1"/>
  <c r="L50" i="74" s="1"/>
  <c r="L52" i="74" s="1"/>
  <c r="C30" i="212"/>
  <c r="B78" i="222"/>
  <c r="A137" i="219"/>
  <c r="E146" i="204" s="1"/>
  <c r="H43" i="203"/>
  <c r="D107" i="215"/>
  <c r="E107" i="215" s="1"/>
  <c r="G106" i="215"/>
  <c r="H106" i="215"/>
  <c r="G184" i="204"/>
  <c r="A37" i="212"/>
  <c r="F19" i="216"/>
  <c r="E24" i="216" s="1"/>
  <c r="B55" i="204"/>
  <c r="B56" i="204" s="1"/>
  <c r="F19" i="215"/>
  <c r="E24" i="215" s="1"/>
  <c r="A78" i="222"/>
  <c r="B52" i="222"/>
  <c r="E86" i="203"/>
  <c r="L229" i="86"/>
  <c r="E236" i="86"/>
  <c r="A30" i="203"/>
  <c r="A31" i="203" s="1"/>
  <c r="A32" i="203" s="1"/>
  <c r="A33" i="203" s="1"/>
  <c r="A34" i="203" s="1"/>
  <c r="A35" i="203" s="1"/>
  <c r="A36" i="203" s="1"/>
  <c r="A37" i="203" s="1"/>
  <c r="A38" i="203" s="1"/>
  <c r="A39" i="203" s="1"/>
  <c r="A40" i="203" s="1"/>
  <c r="A41" i="203" s="1"/>
  <c r="A42" i="203" s="1"/>
  <c r="A43" i="203" s="1"/>
  <c r="D236" i="86"/>
  <c r="E231" i="86"/>
  <c r="E230" i="86"/>
  <c r="E229" i="86"/>
  <c r="E228" i="86"/>
  <c r="E78" i="203"/>
  <c r="E235" i="86" l="1"/>
  <c r="G177" i="204"/>
  <c r="G182" i="204" s="1"/>
  <c r="I106" i="215"/>
  <c r="F31" i="216"/>
  <c r="F31" i="215"/>
  <c r="A79" i="222"/>
  <c r="A80" i="222" s="1"/>
  <c r="A81" i="222" s="1"/>
  <c r="A82" i="222" s="1"/>
  <c r="B57" i="204"/>
  <c r="B58" i="204" s="1"/>
  <c r="E206" i="204"/>
  <c r="C52" i="212"/>
  <c r="A38" i="212"/>
  <c r="B107" i="215"/>
  <c r="F107" i="215"/>
  <c r="A50" i="203"/>
  <c r="A51" i="203" s="1"/>
  <c r="A52" i="203" s="1"/>
  <c r="A53" i="203" s="1"/>
  <c r="A54" i="203" s="1"/>
  <c r="A55" i="203" s="1"/>
  <c r="A56" i="203" s="1"/>
  <c r="A57" i="203" s="1"/>
  <c r="A58" i="203" s="1"/>
  <c r="A60" i="203" s="1"/>
  <c r="A63" i="203" s="1"/>
  <c r="D235" i="86"/>
  <c r="P52" i="74"/>
  <c r="E88" i="203"/>
  <c r="B58" i="203" l="1"/>
  <c r="B59" i="204"/>
  <c r="B60" i="204" s="1"/>
  <c r="B53" i="222"/>
  <c r="A86" i="222"/>
  <c r="A87" i="222" s="1"/>
  <c r="B82" i="222"/>
  <c r="D108" i="215"/>
  <c r="E108" i="215" s="1"/>
  <c r="G107" i="215"/>
  <c r="H107" i="215"/>
  <c r="A39" i="212"/>
  <c r="C42" i="212"/>
  <c r="C39" i="212"/>
  <c r="E225" i="86"/>
  <c r="B60" i="203"/>
  <c r="A66" i="203"/>
  <c r="D65" i="203"/>
  <c r="A41" i="212" l="1"/>
  <c r="C46" i="212"/>
  <c r="I107" i="215"/>
  <c r="F108" i="215"/>
  <c r="B108" i="215"/>
  <c r="B88" i="222"/>
  <c r="A88" i="222"/>
  <c r="E226" i="204"/>
  <c r="B61" i="204"/>
  <c r="B62" i="204" s="1"/>
  <c r="A67" i="203"/>
  <c r="A68" i="203" s="1"/>
  <c r="A69" i="203" s="1"/>
  <c r="A70" i="203" s="1"/>
  <c r="A71" i="203" s="1"/>
  <c r="A72" i="203" s="1"/>
  <c r="A73" i="203" s="1"/>
  <c r="A74" i="203" s="1"/>
  <c r="A75" i="203" s="1"/>
  <c r="A76" i="203" s="1"/>
  <c r="H108" i="215" l="1"/>
  <c r="D109" i="215"/>
  <c r="E109" i="215" s="1"/>
  <c r="G108" i="215"/>
  <c r="B63" i="204"/>
  <c r="B65" i="204" s="1"/>
  <c r="B66" i="204" s="1"/>
  <c r="E63" i="204"/>
  <c r="A42" i="212"/>
  <c r="A43" i="212" s="1"/>
  <c r="A45" i="212" s="1"/>
  <c r="B78" i="203"/>
  <c r="A78" i="203"/>
  <c r="B52" i="203"/>
  <c r="C43" i="212" l="1"/>
  <c r="A46" i="212"/>
  <c r="A47" i="212" s="1"/>
  <c r="A51" i="212" s="1"/>
  <c r="B67" i="204"/>
  <c r="B68" i="204" s="1"/>
  <c r="F109" i="215"/>
  <c r="B109" i="215"/>
  <c r="I108" i="215"/>
  <c r="A79" i="203"/>
  <c r="A80" i="203" s="1"/>
  <c r="A81" i="203" s="1"/>
  <c r="A82" i="203" s="1"/>
  <c r="A86" i="203" s="1"/>
  <c r="C47" i="212" l="1"/>
  <c r="E78" i="204"/>
  <c r="D110" i="215"/>
  <c r="H109" i="215"/>
  <c r="G109" i="215"/>
  <c r="B69" i="204"/>
  <c r="B70" i="204" s="1"/>
  <c r="A52" i="212"/>
  <c r="A53" i="212" s="1"/>
  <c r="E174" i="204" s="1"/>
  <c r="B82" i="203"/>
  <c r="B53" i="203"/>
  <c r="E79" i="204" l="1"/>
  <c r="B71" i="204"/>
  <c r="B72" i="204" s="1"/>
  <c r="C53" i="212"/>
  <c r="I109" i="215"/>
  <c r="B110" i="215"/>
  <c r="E110" i="215"/>
  <c r="F110" i="215" s="1"/>
  <c r="H215" i="86"/>
  <c r="H214" i="86"/>
  <c r="L214" i="86"/>
  <c r="G156" i="86"/>
  <c r="E80" i="204" l="1"/>
  <c r="H110" i="215"/>
  <c r="D111" i="215"/>
  <c r="E111" i="215" s="1"/>
  <c r="G110" i="215"/>
  <c r="B73" i="204"/>
  <c r="B74" i="204" s="1"/>
  <c r="L40" i="196"/>
  <c r="L39" i="196"/>
  <c r="L38" i="196"/>
  <c r="L37" i="196"/>
  <c r="L36" i="196"/>
  <c r="L35" i="196"/>
  <c r="L32" i="196"/>
  <c r="L31" i="196"/>
  <c r="L30" i="196"/>
  <c r="L29" i="196"/>
  <c r="L28" i="196"/>
  <c r="L27" i="196"/>
  <c r="L26" i="196"/>
  <c r="L25" i="196"/>
  <c r="L24" i="196"/>
  <c r="L23" i="196"/>
  <c r="L22" i="196"/>
  <c r="L21" i="196"/>
  <c r="J21" i="196"/>
  <c r="B7" i="196"/>
  <c r="E81" i="204" l="1"/>
  <c r="B75" i="204"/>
  <c r="B77" i="204" s="1"/>
  <c r="B78" i="204" s="1"/>
  <c r="E82" i="204"/>
  <c r="E75" i="204"/>
  <c r="F111" i="215"/>
  <c r="B111" i="215"/>
  <c r="I110" i="215"/>
  <c r="B32" i="196"/>
  <c r="B22" i="196"/>
  <c r="N21" i="196"/>
  <c r="B23" i="196"/>
  <c r="J12" i="196"/>
  <c r="B39" i="196" s="1"/>
  <c r="B21" i="196"/>
  <c r="B24" i="196"/>
  <c r="B25" i="196"/>
  <c r="B26" i="196"/>
  <c r="B27" i="196"/>
  <c r="B28" i="196"/>
  <c r="B29" i="196"/>
  <c r="B30" i="196"/>
  <c r="B31" i="196"/>
  <c r="D37" i="193"/>
  <c r="D52" i="193" s="1"/>
  <c r="D36" i="193"/>
  <c r="D21" i="193"/>
  <c r="D18" i="193"/>
  <c r="G46" i="193"/>
  <c r="G47" i="193" s="1"/>
  <c r="G42" i="193"/>
  <c r="G43" i="193" s="1"/>
  <c r="F42" i="193"/>
  <c r="F43" i="193" s="1"/>
  <c r="I25" i="193"/>
  <c r="I26" i="193" s="1"/>
  <c r="H25" i="193"/>
  <c r="H26" i="193" s="1"/>
  <c r="E26" i="193"/>
  <c r="D41" i="193"/>
  <c r="F39" i="193"/>
  <c r="F46" i="193" s="1"/>
  <c r="F47" i="193" s="1"/>
  <c r="B40" i="196" l="1"/>
  <c r="B36" i="196"/>
  <c r="B35" i="196"/>
  <c r="B79" i="204"/>
  <c r="H111" i="215"/>
  <c r="D112" i="215"/>
  <c r="E112" i="215" s="1"/>
  <c r="G111" i="215"/>
  <c r="J13" i="196"/>
  <c r="B38" i="196"/>
  <c r="B11" i="196"/>
  <c r="G26" i="193"/>
  <c r="J38" i="90" s="1"/>
  <c r="B37" i="196"/>
  <c r="D25" i="193"/>
  <c r="D24" i="193"/>
  <c r="F26" i="193"/>
  <c r="J12" i="90" l="1"/>
  <c r="J12" i="139"/>
  <c r="C71" i="216"/>
  <c r="S32" i="216" s="1"/>
  <c r="C71" i="215"/>
  <c r="Q31" i="215" s="1"/>
  <c r="B80" i="204"/>
  <c r="B81" i="204" s="1"/>
  <c r="B82" i="204" s="1"/>
  <c r="E26" i="204"/>
  <c r="B112" i="215"/>
  <c r="F112" i="215"/>
  <c r="I111" i="215"/>
  <c r="D26" i="193"/>
  <c r="H112" i="215" l="1"/>
  <c r="G112" i="215"/>
  <c r="D113" i="215"/>
  <c r="E113" i="215" s="1"/>
  <c r="B83" i="204"/>
  <c r="E83" i="204"/>
  <c r="A87" i="203"/>
  <c r="I20" i="193"/>
  <c r="I22" i="193" s="1"/>
  <c r="I29" i="193" s="1"/>
  <c r="I30" i="193" s="1"/>
  <c r="H20" i="193"/>
  <c r="H22" i="193" s="1"/>
  <c r="H29" i="193" s="1"/>
  <c r="H30" i="193" s="1"/>
  <c r="B113" i="215" l="1"/>
  <c r="F113" i="215"/>
  <c r="B86" i="204"/>
  <c r="B87" i="204" s="1"/>
  <c r="I112" i="215"/>
  <c r="B88" i="203"/>
  <c r="E226" i="86"/>
  <c r="A88" i="203"/>
  <c r="G22" i="193"/>
  <c r="G29" i="193" s="1"/>
  <c r="E20" i="193"/>
  <c r="H113" i="215" l="1"/>
  <c r="D114" i="215"/>
  <c r="G113" i="215"/>
  <c r="B88" i="204"/>
  <c r="B89" i="204" s="1"/>
  <c r="B90" i="204" s="1"/>
  <c r="B91" i="204" s="1"/>
  <c r="B92" i="204" s="1"/>
  <c r="E22" i="193"/>
  <c r="I113" i="215" l="1"/>
  <c r="B114" i="215"/>
  <c r="B94" i="204"/>
  <c r="B96" i="204" s="1"/>
  <c r="B98" i="204" s="1"/>
  <c r="B100" i="204" s="1"/>
  <c r="B101" i="204" s="1"/>
  <c r="E92" i="204"/>
  <c r="E114" i="215"/>
  <c r="F114" i="215" s="1"/>
  <c r="E29" i="193"/>
  <c r="B6" i="193"/>
  <c r="B3" i="193"/>
  <c r="D115" i="215" l="1"/>
  <c r="E115" i="215" s="1"/>
  <c r="G114" i="215"/>
  <c r="H114" i="215"/>
  <c r="B102" i="204"/>
  <c r="B103" i="204" s="1"/>
  <c r="B104" i="204" s="1"/>
  <c r="B105" i="204" s="1"/>
  <c r="B106" i="204" s="1"/>
  <c r="B107" i="204" s="1"/>
  <c r="B108" i="204" s="1"/>
  <c r="B109" i="204" s="1"/>
  <c r="B111" i="204" s="1"/>
  <c r="B113" i="204" s="1"/>
  <c r="E30" i="193"/>
  <c r="E109" i="204" l="1"/>
  <c r="I114" i="215"/>
  <c r="C23" i="216"/>
  <c r="S21" i="216" s="1"/>
  <c r="C23" i="215"/>
  <c r="Q20" i="215" s="1"/>
  <c r="B128" i="204"/>
  <c r="D113" i="204"/>
  <c r="B115" i="215"/>
  <c r="F115" i="215"/>
  <c r="D116" i="215" l="1"/>
  <c r="E116" i="215" s="1"/>
  <c r="G115" i="215"/>
  <c r="H115" i="215"/>
  <c r="B129" i="204"/>
  <c r="A19" i="193"/>
  <c r="A20" i="193" l="1"/>
  <c r="C51" i="193" s="1"/>
  <c r="C20" i="193"/>
  <c r="D278" i="204"/>
  <c r="B130" i="204"/>
  <c r="I115" i="215"/>
  <c r="F116" i="215"/>
  <c r="B116" i="215"/>
  <c r="A21" i="193" l="1"/>
  <c r="A22" i="193" s="1"/>
  <c r="C29" i="193" s="1"/>
  <c r="B131" i="204"/>
  <c r="B132" i="204" s="1"/>
  <c r="B133" i="204" s="1"/>
  <c r="B134" i="204" s="1"/>
  <c r="H116" i="215"/>
  <c r="D117" i="215"/>
  <c r="G116" i="215"/>
  <c r="F219" i="86"/>
  <c r="C25" i="193" l="1"/>
  <c r="E134" i="204"/>
  <c r="A24" i="193"/>
  <c r="A25" i="193" s="1"/>
  <c r="A26" i="193" s="1"/>
  <c r="A28" i="193" s="1"/>
  <c r="A29" i="193" s="1"/>
  <c r="C22" i="193"/>
  <c r="I116" i="215"/>
  <c r="B117" i="215"/>
  <c r="B136" i="204"/>
  <c r="E101" i="204"/>
  <c r="D272" i="204"/>
  <c r="E117" i="215"/>
  <c r="F117" i="215" s="1"/>
  <c r="B15" i="190"/>
  <c r="B14" i="190"/>
  <c r="B13" i="190"/>
  <c r="D118" i="215" l="1"/>
  <c r="H117" i="215"/>
  <c r="G117" i="215"/>
  <c r="B137" i="204"/>
  <c r="A30" i="193"/>
  <c r="A36" i="193" s="1"/>
  <c r="A37" i="193" s="1"/>
  <c r="C52" i="193" s="1"/>
  <c r="C30" i="193"/>
  <c r="C26" i="193"/>
  <c r="B12" i="190"/>
  <c r="B16" i="190"/>
  <c r="E131" i="86" s="1"/>
  <c r="B11" i="190"/>
  <c r="K41" i="190"/>
  <c r="N41" i="190" s="1"/>
  <c r="K42" i="190"/>
  <c r="K43" i="190"/>
  <c r="N43" i="190" s="1"/>
  <c r="K44" i="190"/>
  <c r="N44" i="190" s="1"/>
  <c r="K40" i="190"/>
  <c r="N40" i="190" s="1"/>
  <c r="B18" i="190" l="1"/>
  <c r="B23" i="190" s="1"/>
  <c r="E133" i="86" s="1"/>
  <c r="E143" i="204"/>
  <c r="B138" i="204"/>
  <c r="B139" i="204" s="1"/>
  <c r="B140" i="204" s="1"/>
  <c r="B141" i="204" s="1"/>
  <c r="B142" i="204" s="1"/>
  <c r="I117" i="215"/>
  <c r="B118" i="215"/>
  <c r="E118" i="215"/>
  <c r="F118" i="215" s="1"/>
  <c r="A38" i="193"/>
  <c r="I8" i="190"/>
  <c r="I39" i="190"/>
  <c r="J39" i="190"/>
  <c r="K45" i="190"/>
  <c r="G96" i="86" s="1"/>
  <c r="J45" i="190"/>
  <c r="I45" i="190"/>
  <c r="B22" i="190" l="1"/>
  <c r="B21" i="190"/>
  <c r="B20" i="190"/>
  <c r="B19" i="190"/>
  <c r="H118" i="215"/>
  <c r="D119" i="215"/>
  <c r="E119" i="215" s="1"/>
  <c r="G118" i="215"/>
  <c r="B143" i="204"/>
  <c r="B144" i="204" s="1"/>
  <c r="B145" i="204" s="1"/>
  <c r="B146" i="204" s="1"/>
  <c r="B147" i="204" s="1"/>
  <c r="B148" i="204" s="1"/>
  <c r="E142" i="204"/>
  <c r="B25" i="190"/>
  <c r="B26" i="190" s="1"/>
  <c r="A39" i="193"/>
  <c r="A41" i="193" s="1"/>
  <c r="C42" i="193"/>
  <c r="C39" i="193"/>
  <c r="B28" i="190" l="1"/>
  <c r="E141" i="86" s="1"/>
  <c r="E148" i="204"/>
  <c r="B150" i="204"/>
  <c r="E150" i="204"/>
  <c r="F119" i="215"/>
  <c r="B119" i="215"/>
  <c r="I118" i="215"/>
  <c r="B27" i="190"/>
  <c r="A42" i="193"/>
  <c r="A43" i="193" s="1"/>
  <c r="A45" i="193" s="1"/>
  <c r="C46" i="193"/>
  <c r="B30" i="190" l="1"/>
  <c r="B31" i="190" s="1"/>
  <c r="H119" i="215"/>
  <c r="D120" i="215"/>
  <c r="E120" i="215" s="1"/>
  <c r="G119" i="215"/>
  <c r="B152" i="204"/>
  <c r="B153" i="204" s="1"/>
  <c r="C43" i="193"/>
  <c r="A46" i="193"/>
  <c r="A47" i="193" s="1"/>
  <c r="A51" i="193" s="1"/>
  <c r="A5" i="190"/>
  <c r="A2" i="190"/>
  <c r="I33" i="190"/>
  <c r="G147" i="86" s="1"/>
  <c r="I28" i="190"/>
  <c r="G141" i="86" s="1"/>
  <c r="I23" i="190"/>
  <c r="G133" i="86" s="1"/>
  <c r="I16" i="190"/>
  <c r="G131" i="86" s="1"/>
  <c r="B33" i="190" l="1"/>
  <c r="E147" i="86" s="1"/>
  <c r="B32" i="190"/>
  <c r="C55" i="216"/>
  <c r="S30" i="216" s="1"/>
  <c r="C82" i="215"/>
  <c r="Q34" i="215" s="1"/>
  <c r="C82" i="216"/>
  <c r="S35" i="216" s="1"/>
  <c r="C55" i="215"/>
  <c r="Q29" i="215" s="1"/>
  <c r="E30" i="204"/>
  <c r="B154" i="204"/>
  <c r="B155" i="204" s="1"/>
  <c r="B156" i="204" s="1"/>
  <c r="B120" i="215"/>
  <c r="F120" i="215"/>
  <c r="I119" i="215"/>
  <c r="A52" i="193"/>
  <c r="A53" i="193" s="1"/>
  <c r="E174" i="86" s="1"/>
  <c r="C47" i="193"/>
  <c r="H53" i="186"/>
  <c r="G53" i="186"/>
  <c r="I48" i="186"/>
  <c r="H48" i="186"/>
  <c r="G48" i="186"/>
  <c r="B39" i="190" l="1"/>
  <c r="B45" i="190" s="1"/>
  <c r="E96" i="86" s="1"/>
  <c r="B44" i="190"/>
  <c r="B41" i="190"/>
  <c r="B43" i="190"/>
  <c r="B42" i="190"/>
  <c r="B40" i="190"/>
  <c r="E156" i="204"/>
  <c r="H120" i="215"/>
  <c r="G120" i="215"/>
  <c r="D121" i="215"/>
  <c r="E121" i="215" s="1"/>
  <c r="B158" i="204"/>
  <c r="B159" i="204" s="1"/>
  <c r="B160" i="204" s="1"/>
  <c r="C53" i="193"/>
  <c r="H12" i="145"/>
  <c r="I53" i="186"/>
  <c r="G94" i="86" s="1"/>
  <c r="B161" i="204" l="1"/>
  <c r="B162" i="204" s="1"/>
  <c r="B163" i="204" s="1"/>
  <c r="B164" i="204" s="1"/>
  <c r="B165" i="204" s="1"/>
  <c r="B121" i="215"/>
  <c r="F121" i="215"/>
  <c r="I120" i="215"/>
  <c r="H15" i="189"/>
  <c r="H14" i="189"/>
  <c r="H12" i="189"/>
  <c r="G9" i="189"/>
  <c r="F9" i="189"/>
  <c r="H8" i="189"/>
  <c r="A5" i="189"/>
  <c r="A3" i="189"/>
  <c r="A2" i="189"/>
  <c r="G74" i="86"/>
  <c r="G73" i="86"/>
  <c r="G72" i="86"/>
  <c r="G71" i="86"/>
  <c r="G70" i="86"/>
  <c r="G69" i="86"/>
  <c r="G67" i="86"/>
  <c r="G66" i="86"/>
  <c r="A12" i="188"/>
  <c r="A13" i="188" s="1"/>
  <c r="A14" i="188" s="1"/>
  <c r="A15" i="188" s="1"/>
  <c r="A16" i="188" s="1"/>
  <c r="A17" i="188" s="1"/>
  <c r="A18" i="188" s="1"/>
  <c r="A19" i="188" s="1"/>
  <c r="A20" i="188" s="1"/>
  <c r="A21" i="188" s="1"/>
  <c r="A22" i="188" s="1"/>
  <c r="A23" i="188" s="1"/>
  <c r="A24" i="188" s="1"/>
  <c r="A5" i="188"/>
  <c r="A3" i="188"/>
  <c r="A2" i="188"/>
  <c r="G62" i="86"/>
  <c r="G61" i="86"/>
  <c r="G60" i="86"/>
  <c r="G59" i="86"/>
  <c r="G58" i="86"/>
  <c r="G57" i="86"/>
  <c r="H16" i="189" l="1"/>
  <c r="G98" i="86" s="1"/>
  <c r="G56" i="86"/>
  <c r="F81" i="129"/>
  <c r="R34" i="129" s="1"/>
  <c r="F81" i="143"/>
  <c r="P33" i="143" s="1"/>
  <c r="B167" i="204"/>
  <c r="B168" i="204" s="1"/>
  <c r="H121" i="215"/>
  <c r="D122" i="215"/>
  <c r="E122" i="215" s="1"/>
  <c r="G121" i="215"/>
  <c r="E165" i="204"/>
  <c r="G68" i="86"/>
  <c r="E71" i="86"/>
  <c r="E70" i="86"/>
  <c r="A31" i="188"/>
  <c r="A32" i="188" s="1"/>
  <c r="A33" i="188" s="1"/>
  <c r="A34" i="188" s="1"/>
  <c r="A35" i="188" s="1"/>
  <c r="A36" i="188" s="1"/>
  <c r="A37" i="188" s="1"/>
  <c r="A38" i="188" s="1"/>
  <c r="A39" i="188" s="1"/>
  <c r="A40" i="188" s="1"/>
  <c r="A41" i="188" s="1"/>
  <c r="A42" i="188" s="1"/>
  <c r="A43" i="188" s="1"/>
  <c r="A44" i="188" s="1"/>
  <c r="E69" i="86"/>
  <c r="A5" i="39"/>
  <c r="A5" i="186"/>
  <c r="A3" i="186"/>
  <c r="A2" i="186"/>
  <c r="L208" i="86"/>
  <c r="G55" i="86"/>
  <c r="G54" i="86"/>
  <c r="A12" i="186"/>
  <c r="A13" i="186" s="1"/>
  <c r="A14" i="186" s="1"/>
  <c r="A15" i="186" s="1"/>
  <c r="A16" i="186" s="1"/>
  <c r="A17" i="186" s="1"/>
  <c r="A18" i="186" s="1"/>
  <c r="A19" i="186" s="1"/>
  <c r="A20" i="186" s="1"/>
  <c r="A21" i="186" s="1"/>
  <c r="A22" i="186" s="1"/>
  <c r="A23" i="186" s="1"/>
  <c r="A24" i="186" s="1"/>
  <c r="K29" i="96"/>
  <c r="M29" i="96"/>
  <c r="L28" i="96"/>
  <c r="L27" i="96"/>
  <c r="L40" i="179"/>
  <c r="L39" i="179"/>
  <c r="L38" i="179"/>
  <c r="L37" i="179"/>
  <c r="L36" i="179"/>
  <c r="L35" i="179"/>
  <c r="L32" i="179"/>
  <c r="L31" i="179"/>
  <c r="L30" i="179"/>
  <c r="L29" i="179"/>
  <c r="L28" i="179"/>
  <c r="L27" i="179"/>
  <c r="L26" i="179"/>
  <c r="L25" i="179"/>
  <c r="L24" i="179"/>
  <c r="L23" i="179"/>
  <c r="L22" i="179"/>
  <c r="L21" i="179"/>
  <c r="L44" i="178"/>
  <c r="L43" i="178"/>
  <c r="L42" i="178"/>
  <c r="L41" i="178"/>
  <c r="L40" i="178"/>
  <c r="L39" i="178"/>
  <c r="L38" i="178"/>
  <c r="L37" i="178"/>
  <c r="L36" i="178"/>
  <c r="L35" i="178"/>
  <c r="L34" i="178"/>
  <c r="L33" i="178"/>
  <c r="L30" i="178"/>
  <c r="L29" i="178"/>
  <c r="L28" i="178"/>
  <c r="L26" i="178"/>
  <c r="L25" i="178"/>
  <c r="L24" i="178"/>
  <c r="L23" i="178"/>
  <c r="L22" i="178"/>
  <c r="L21" i="178"/>
  <c r="L20" i="178"/>
  <c r="L19" i="178"/>
  <c r="A8" i="180"/>
  <c r="C81" i="129" l="1"/>
  <c r="C81" i="143"/>
  <c r="F122" i="215"/>
  <c r="B122" i="215"/>
  <c r="I121" i="215"/>
  <c r="C30" i="216"/>
  <c r="S22" i="216" s="1"/>
  <c r="C30" i="215"/>
  <c r="Q21" i="215" s="1"/>
  <c r="D298" i="204"/>
  <c r="B169" i="204"/>
  <c r="D172" i="204"/>
  <c r="A46" i="188"/>
  <c r="E68" i="86" s="1"/>
  <c r="E74" i="86"/>
  <c r="E73" i="86"/>
  <c r="E72" i="86"/>
  <c r="B46" i="188"/>
  <c r="E66" i="86"/>
  <c r="E59" i="86"/>
  <c r="E58" i="86"/>
  <c r="E57" i="86"/>
  <c r="E55" i="86"/>
  <c r="E54" i="86"/>
  <c r="E67" i="86"/>
  <c r="A31" i="186"/>
  <c r="B5" i="196"/>
  <c r="A3" i="203"/>
  <c r="B4" i="193"/>
  <c r="A3" i="190"/>
  <c r="B5" i="179"/>
  <c r="A3" i="89"/>
  <c r="A3" i="129"/>
  <c r="A3" i="94"/>
  <c r="A3" i="146"/>
  <c r="A3" i="143"/>
  <c r="A3" i="39"/>
  <c r="B5" i="178"/>
  <c r="A3" i="74"/>
  <c r="M3" i="74" s="1"/>
  <c r="A4" i="96"/>
  <c r="A3" i="78"/>
  <c r="A6" i="180"/>
  <c r="A3" i="52"/>
  <c r="A3" i="91"/>
  <c r="E39" i="180"/>
  <c r="A25" i="180"/>
  <c r="A26" i="180" s="1"/>
  <c r="A27" i="180" s="1"/>
  <c r="A28" i="180" s="1"/>
  <c r="A29" i="180" s="1"/>
  <c r="A30" i="180" s="1"/>
  <c r="A31" i="180" s="1"/>
  <c r="A32" i="180" s="1"/>
  <c r="A33" i="180" s="1"/>
  <c r="A34" i="180" s="1"/>
  <c r="A35" i="180" s="1"/>
  <c r="A36" i="180" s="1"/>
  <c r="A39" i="180" s="1"/>
  <c r="B7" i="179"/>
  <c r="B7" i="178"/>
  <c r="B32" i="179"/>
  <c r="B31" i="179"/>
  <c r="B30" i="179"/>
  <c r="B29" i="179"/>
  <c r="B28" i="179"/>
  <c r="B27" i="179"/>
  <c r="B26" i="179"/>
  <c r="B25" i="179"/>
  <c r="B24" i="179"/>
  <c r="B23" i="179"/>
  <c r="B22" i="179"/>
  <c r="J21" i="179"/>
  <c r="N21" i="179" s="1"/>
  <c r="B21" i="179"/>
  <c r="J12" i="179"/>
  <c r="B39" i="179" s="1"/>
  <c r="B30" i="178"/>
  <c r="C24" i="180" s="1"/>
  <c r="B29" i="178"/>
  <c r="C23" i="180" s="1"/>
  <c r="B28" i="178"/>
  <c r="C22" i="180" s="1"/>
  <c r="B27" i="178"/>
  <c r="C21" i="180" s="1"/>
  <c r="B26" i="178"/>
  <c r="C20" i="180" s="1"/>
  <c r="B25" i="178"/>
  <c r="C19" i="180" s="1"/>
  <c r="B24" i="178"/>
  <c r="C18" i="180" s="1"/>
  <c r="B23" i="178"/>
  <c r="C17" i="180" s="1"/>
  <c r="B22" i="178"/>
  <c r="C16" i="180" s="1"/>
  <c r="B21" i="178"/>
  <c r="C15" i="180" s="1"/>
  <c r="B20" i="178"/>
  <c r="C14" i="180" s="1"/>
  <c r="J19" i="178"/>
  <c r="N19" i="178" s="1"/>
  <c r="B19" i="178"/>
  <c r="C13" i="180" s="1"/>
  <c r="J10" i="178"/>
  <c r="B9" i="178" s="1"/>
  <c r="B170" i="204" l="1"/>
  <c r="B171" i="204" s="1"/>
  <c r="B172" i="204" s="1"/>
  <c r="D123" i="215"/>
  <c r="E123" i="215" s="1"/>
  <c r="G122" i="215"/>
  <c r="H122" i="215"/>
  <c r="B11" i="179"/>
  <c r="B43" i="178"/>
  <c r="C35" i="180" s="1"/>
  <c r="B39" i="178"/>
  <c r="C31" i="180" s="1"/>
  <c r="B36" i="179"/>
  <c r="J13" i="179"/>
  <c r="B35" i="178"/>
  <c r="C27" i="180" s="1"/>
  <c r="L59" i="178"/>
  <c r="L55" i="178"/>
  <c r="L51" i="178"/>
  <c r="L54" i="178"/>
  <c r="L50" i="178"/>
  <c r="L53" i="178"/>
  <c r="L56" i="178"/>
  <c r="L58" i="178"/>
  <c r="L48" i="178"/>
  <c r="L57" i="178"/>
  <c r="L49" i="178"/>
  <c r="L52" i="178"/>
  <c r="A32" i="186"/>
  <c r="A33" i="186" s="1"/>
  <c r="A34" i="186" s="1"/>
  <c r="A35" i="186" s="1"/>
  <c r="A36" i="186" s="1"/>
  <c r="A37" i="186" s="1"/>
  <c r="A38" i="186" s="1"/>
  <c r="A39" i="186" s="1"/>
  <c r="A40" i="186" s="1"/>
  <c r="A41" i="186" s="1"/>
  <c r="A42" i="186" s="1"/>
  <c r="A43" i="186" s="1"/>
  <c r="A44" i="186" s="1"/>
  <c r="B40" i="179"/>
  <c r="B39" i="180"/>
  <c r="B38" i="179"/>
  <c r="B37" i="179"/>
  <c r="B35" i="179"/>
  <c r="B41" i="178"/>
  <c r="C33" i="180" s="1"/>
  <c r="B37" i="178"/>
  <c r="C29" i="180" s="1"/>
  <c r="B33" i="178"/>
  <c r="C25" i="180" s="1"/>
  <c r="B42" i="178"/>
  <c r="C34" i="180" s="1"/>
  <c r="B38" i="178"/>
  <c r="C30" i="180" s="1"/>
  <c r="B34" i="178"/>
  <c r="C26" i="180" s="1"/>
  <c r="J11" i="178"/>
  <c r="B36" i="178"/>
  <c r="C28" i="180" s="1"/>
  <c r="B40" i="178"/>
  <c r="C32" i="180" s="1"/>
  <c r="B44" i="178"/>
  <c r="C36" i="180" s="1"/>
  <c r="I122" i="215" l="1"/>
  <c r="D208" i="86"/>
  <c r="D207" i="86"/>
  <c r="B123" i="215"/>
  <c r="F123" i="215"/>
  <c r="B173" i="204"/>
  <c r="B174" i="204" s="1"/>
  <c r="B175" i="204" s="1"/>
  <c r="B177" i="204" s="1"/>
  <c r="E61" i="86"/>
  <c r="E60" i="86"/>
  <c r="E62" i="86"/>
  <c r="A52" i="186"/>
  <c r="A51" i="186"/>
  <c r="A50" i="186"/>
  <c r="A53" i="186"/>
  <c r="E94" i="86" s="1"/>
  <c r="B59" i="178"/>
  <c r="B58" i="178"/>
  <c r="B57" i="178"/>
  <c r="B56" i="178"/>
  <c r="B55" i="178"/>
  <c r="B54" i="178"/>
  <c r="B53" i="178"/>
  <c r="B52" i="178"/>
  <c r="B51" i="178"/>
  <c r="B50" i="178"/>
  <c r="B49" i="178"/>
  <c r="B48" i="178"/>
  <c r="E178" i="204" l="1"/>
  <c r="E180" i="204"/>
  <c r="E179" i="204"/>
  <c r="B178" i="204"/>
  <c r="D124" i="215"/>
  <c r="E124" i="215" s="1"/>
  <c r="G123" i="215"/>
  <c r="H123" i="215"/>
  <c r="I123" i="215" l="1"/>
  <c r="F124" i="215"/>
  <c r="B124" i="215"/>
  <c r="C33" i="215"/>
  <c r="Q22" i="215" s="1"/>
  <c r="C33" i="216"/>
  <c r="S23" i="216" s="1"/>
  <c r="B179" i="204"/>
  <c r="C34" i="216" l="1"/>
  <c r="S24" i="216" s="1"/>
  <c r="C34" i="215"/>
  <c r="Q23" i="215" s="1"/>
  <c r="B180" i="204"/>
  <c r="H124" i="215"/>
  <c r="D125" i="215"/>
  <c r="E125" i="215" s="1"/>
  <c r="G124" i="215"/>
  <c r="I124" i="215" l="1"/>
  <c r="C35" i="216"/>
  <c r="S25" i="216" s="1"/>
  <c r="C35" i="215"/>
  <c r="Q24" i="215" s="1"/>
  <c r="B182" i="204"/>
  <c r="E182" i="204"/>
  <c r="F125" i="215"/>
  <c r="B125" i="215"/>
  <c r="D126" i="215" l="1"/>
  <c r="H125" i="215"/>
  <c r="G125" i="215"/>
  <c r="C44" i="216"/>
  <c r="S28" i="216" s="1"/>
  <c r="C44" i="215"/>
  <c r="Q27" i="215" s="1"/>
  <c r="B184" i="204"/>
  <c r="E33" i="204" s="1"/>
  <c r="I125" i="215" l="1"/>
  <c r="B126" i="215"/>
  <c r="C43" i="216"/>
  <c r="S27" i="216" s="1"/>
  <c r="C43" i="215"/>
  <c r="Q26" i="215" s="1"/>
  <c r="B186" i="204"/>
  <c r="D189" i="204" s="1"/>
  <c r="E177" i="204"/>
  <c r="E126" i="215"/>
  <c r="F126" i="215" s="1"/>
  <c r="D276" i="204" l="1"/>
  <c r="B188" i="204"/>
  <c r="H126" i="215"/>
  <c r="D127" i="215"/>
  <c r="E127" i="215" s="1"/>
  <c r="G126" i="215"/>
  <c r="F127" i="215" l="1"/>
  <c r="B127" i="215"/>
  <c r="I126" i="215"/>
  <c r="B189" i="204"/>
  <c r="B191" i="204" s="1"/>
  <c r="B38" i="220" l="1"/>
  <c r="C45" i="215"/>
  <c r="Q28" i="215" s="1"/>
  <c r="C45" i="216"/>
  <c r="S29" i="216" s="1"/>
  <c r="B193" i="204"/>
  <c r="E193" i="204"/>
  <c r="H127" i="215"/>
  <c r="D128" i="215"/>
  <c r="E128" i="215" s="1"/>
  <c r="G127" i="215"/>
  <c r="B128" i="215" l="1"/>
  <c r="F128" i="215"/>
  <c r="C42" i="216"/>
  <c r="S26" i="216" s="1"/>
  <c r="C42" i="215"/>
  <c r="Q25" i="215" s="1"/>
  <c r="E12" i="204"/>
  <c r="B206" i="204"/>
  <c r="I127" i="215"/>
  <c r="B207" i="204" l="1"/>
  <c r="B208" i="204" s="1"/>
  <c r="B209" i="204" s="1"/>
  <c r="H128" i="215"/>
  <c r="G128" i="215"/>
  <c r="D129" i="215"/>
  <c r="E129" i="215" s="1"/>
  <c r="B129" i="215" l="1"/>
  <c r="F129" i="215"/>
  <c r="E211" i="204"/>
  <c r="B211" i="204"/>
  <c r="B213" i="204" s="1"/>
  <c r="B214" i="204" s="1"/>
  <c r="E56" i="204"/>
  <c r="I128" i="215"/>
  <c r="E209" i="204"/>
  <c r="H129" i="215" l="1"/>
  <c r="D130" i="215"/>
  <c r="E130" i="215" s="1"/>
  <c r="G129" i="215"/>
  <c r="B215" i="204"/>
  <c r="B216" i="204" s="1"/>
  <c r="B217" i="204" s="1"/>
  <c r="B218" i="204" s="1"/>
  <c r="B219" i="204" s="1"/>
  <c r="B221" i="204" s="1"/>
  <c r="B224" i="204" s="1"/>
  <c r="B225" i="204" s="1"/>
  <c r="E219" i="204" l="1"/>
  <c r="B226" i="204"/>
  <c r="B227" i="204" s="1"/>
  <c r="B228" i="204" s="1"/>
  <c r="F130" i="215"/>
  <c r="B130" i="215"/>
  <c r="I129" i="215"/>
  <c r="D131" i="215" l="1"/>
  <c r="E131" i="215" s="1"/>
  <c r="G130" i="215"/>
  <c r="H130" i="215"/>
  <c r="B229" i="204"/>
  <c r="B230" i="204" s="1"/>
  <c r="B231" i="204" s="1"/>
  <c r="B232" i="204" s="1"/>
  <c r="D237" i="204" s="1"/>
  <c r="I130" i="215" l="1"/>
  <c r="B234" i="204"/>
  <c r="B235" i="204" s="1"/>
  <c r="E232" i="204"/>
  <c r="B131" i="215"/>
  <c r="F131" i="215"/>
  <c r="D132" i="215" l="1"/>
  <c r="E132" i="215" s="1"/>
  <c r="G131" i="215"/>
  <c r="H131" i="215"/>
  <c r="B236" i="204"/>
  <c r="D314" i="204" s="1"/>
  <c r="I131" i="215" l="1"/>
  <c r="B237" i="204"/>
  <c r="D229" i="204"/>
  <c r="F132" i="215"/>
  <c r="B132" i="215"/>
  <c r="H132" i="215" l="1"/>
  <c r="D133" i="215"/>
  <c r="E133" i="215" s="1"/>
  <c r="G132" i="215"/>
  <c r="C11" i="216"/>
  <c r="S14" i="216" s="1"/>
  <c r="C11" i="215"/>
  <c r="Q13" i="215" s="1"/>
  <c r="B238" i="204"/>
  <c r="D238" i="204"/>
  <c r="C14" i="215"/>
  <c r="C14" i="216"/>
  <c r="F133" i="215" l="1"/>
  <c r="B133" i="215"/>
  <c r="B79" i="222"/>
  <c r="E184" i="204"/>
  <c r="D170" i="204"/>
  <c r="I132" i="215"/>
  <c r="D134" i="215" l="1"/>
  <c r="H133" i="215"/>
  <c r="G133" i="215"/>
  <c r="B134" i="215" l="1"/>
  <c r="I133" i="215"/>
  <c r="E134" i="215"/>
  <c r="F134" i="215" s="1"/>
  <c r="H134" i="215" l="1"/>
  <c r="D135" i="215"/>
  <c r="E135" i="215" s="1"/>
  <c r="G134" i="215"/>
  <c r="F135" i="215" l="1"/>
  <c r="B135" i="215"/>
  <c r="I134" i="215"/>
  <c r="A13" i="189" l="1"/>
  <c r="H135" i="215"/>
  <c r="D136" i="215"/>
  <c r="E136" i="215" s="1"/>
  <c r="G135" i="215"/>
  <c r="A14" i="189" l="1"/>
  <c r="A15" i="189" s="1"/>
  <c r="A16" i="189" s="1"/>
  <c r="E98" i="86" s="1"/>
  <c r="B136" i="215"/>
  <c r="F136" i="215"/>
  <c r="I135" i="215"/>
  <c r="H136" i="215" l="1"/>
  <c r="G136" i="215"/>
  <c r="D137" i="215"/>
  <c r="E137" i="215" s="1"/>
  <c r="B137" i="215" l="1"/>
  <c r="F137" i="215"/>
  <c r="I136" i="215"/>
  <c r="H137" i="215" l="1"/>
  <c r="D138" i="215"/>
  <c r="E138" i="215" s="1"/>
  <c r="G137" i="215"/>
  <c r="M46" i="96"/>
  <c r="L20" i="96"/>
  <c r="L19" i="96"/>
  <c r="L18" i="96"/>
  <c r="L14" i="96"/>
  <c r="L12" i="96"/>
  <c r="G82" i="86"/>
  <c r="L59" i="86"/>
  <c r="L216" i="86"/>
  <c r="G25" i="147"/>
  <c r="G24" i="147"/>
  <c r="M26" i="147"/>
  <c r="N146" i="139"/>
  <c r="M146" i="139"/>
  <c r="L146" i="139"/>
  <c r="K146" i="139"/>
  <c r="J146" i="139"/>
  <c r="J42" i="74"/>
  <c r="J41" i="74"/>
  <c r="J40" i="74"/>
  <c r="J39" i="74"/>
  <c r="E38" i="74"/>
  <c r="E33" i="74"/>
  <c r="J44" i="74"/>
  <c r="E45" i="74"/>
  <c r="J43" i="74"/>
  <c r="E37" i="74"/>
  <c r="E35" i="74"/>
  <c r="E34" i="74"/>
  <c r="J31" i="74"/>
  <c r="E30" i="74"/>
  <c r="E29" i="74"/>
  <c r="B16" i="147"/>
  <c r="B18" i="147" s="1"/>
  <c r="B20" i="147" s="1"/>
  <c r="B22" i="147" s="1"/>
  <c r="B23" i="147" s="1"/>
  <c r="B24" i="147" s="1"/>
  <c r="B25" i="147" s="1"/>
  <c r="B26" i="147" s="1"/>
  <c r="M16" i="78"/>
  <c r="L16" i="86"/>
  <c r="K18" i="147" s="1"/>
  <c r="B14" i="86"/>
  <c r="K44" i="94"/>
  <c r="K42" i="94"/>
  <c r="F56" i="145"/>
  <c r="G56" i="145" s="1"/>
  <c r="G55" i="145"/>
  <c r="G54" i="145"/>
  <c r="G53" i="145"/>
  <c r="G52" i="145"/>
  <c r="G51" i="145"/>
  <c r="G50" i="145"/>
  <c r="G49" i="145"/>
  <c r="G48" i="145"/>
  <c r="G47" i="145"/>
  <c r="G46" i="145"/>
  <c r="G45" i="145"/>
  <c r="G44" i="145"/>
  <c r="C44" i="145"/>
  <c r="H39" i="145"/>
  <c r="H40" i="145" s="1"/>
  <c r="C47" i="145" s="1"/>
  <c r="G11" i="91"/>
  <c r="B14" i="96"/>
  <c r="B22" i="96" s="1"/>
  <c r="B29" i="96" s="1"/>
  <c r="B46" i="96" s="1"/>
  <c r="B48" i="96" s="1"/>
  <c r="B50" i="96" s="1"/>
  <c r="D20" i="89"/>
  <c r="F23" i="94"/>
  <c r="F19" i="94"/>
  <c r="F15" i="94"/>
  <c r="F11" i="94"/>
  <c r="M29" i="78"/>
  <c r="B25" i="149"/>
  <c r="B14" i="149"/>
  <c r="F6" i="149"/>
  <c r="F6" i="147"/>
  <c r="G14" i="147"/>
  <c r="D28" i="149"/>
  <c r="H20" i="149"/>
  <c r="H17" i="149"/>
  <c r="B16" i="149"/>
  <c r="B17" i="149" s="1"/>
  <c r="B18" i="149" s="1"/>
  <c r="B20" i="149" s="1"/>
  <c r="B22" i="149" s="1"/>
  <c r="D38" i="147"/>
  <c r="I25" i="147"/>
  <c r="I24" i="147"/>
  <c r="A2" i="89"/>
  <c r="A2" i="74"/>
  <c r="M2" i="74" s="1"/>
  <c r="A2" i="52"/>
  <c r="A3" i="96"/>
  <c r="A2" i="39" s="1"/>
  <c r="A2" i="91"/>
  <c r="A2" i="94"/>
  <c r="A2" i="78"/>
  <c r="A2" i="143"/>
  <c r="A2" i="129"/>
  <c r="D186" i="86"/>
  <c r="A2" i="146"/>
  <c r="A5" i="146"/>
  <c r="A6" i="145"/>
  <c r="A4" i="145"/>
  <c r="A3" i="145"/>
  <c r="G30" i="145"/>
  <c r="G29" i="145"/>
  <c r="G28" i="145"/>
  <c r="G27" i="145"/>
  <c r="G26" i="145"/>
  <c r="G25" i="145"/>
  <c r="G24" i="145"/>
  <c r="G23" i="145"/>
  <c r="G22" i="145"/>
  <c r="G21" i="145"/>
  <c r="G20" i="145"/>
  <c r="G19" i="145"/>
  <c r="G18" i="145"/>
  <c r="A12" i="145"/>
  <c r="A13" i="145" s="1"/>
  <c r="C58" i="89"/>
  <c r="C3" i="139"/>
  <c r="C4" i="139"/>
  <c r="A5" i="89"/>
  <c r="C19" i="89"/>
  <c r="C32" i="89" s="1"/>
  <c r="N19" i="143"/>
  <c r="M19" i="143"/>
  <c r="L19" i="143"/>
  <c r="L23" i="86" s="1"/>
  <c r="K23" i="147" s="1"/>
  <c r="A89" i="129"/>
  <c r="A88" i="143"/>
  <c r="I98" i="143"/>
  <c r="N159" i="143"/>
  <c r="L159" i="143"/>
  <c r="N158" i="143"/>
  <c r="L158" i="143"/>
  <c r="N157" i="143"/>
  <c r="L157" i="143"/>
  <c r="N156" i="143"/>
  <c r="L156" i="143"/>
  <c r="N155" i="143"/>
  <c r="L155" i="143"/>
  <c r="N154" i="143"/>
  <c r="L154" i="143"/>
  <c r="N153" i="143"/>
  <c r="L153" i="143"/>
  <c r="N152" i="143"/>
  <c r="L152" i="143"/>
  <c r="N151" i="143"/>
  <c r="L151" i="143"/>
  <c r="N150" i="143"/>
  <c r="L150" i="143"/>
  <c r="N149" i="143"/>
  <c r="L149" i="143"/>
  <c r="N148" i="143"/>
  <c r="L148" i="143"/>
  <c r="N147" i="143"/>
  <c r="L147" i="143"/>
  <c r="N146" i="143"/>
  <c r="L146" i="143"/>
  <c r="N145" i="143"/>
  <c r="L145" i="143"/>
  <c r="N144" i="143"/>
  <c r="L144" i="143"/>
  <c r="N143" i="143"/>
  <c r="L143" i="143"/>
  <c r="N142" i="143"/>
  <c r="L142" i="143"/>
  <c r="N141" i="143"/>
  <c r="L141" i="143"/>
  <c r="N140" i="143"/>
  <c r="L140" i="143"/>
  <c r="N139" i="143"/>
  <c r="L139" i="143"/>
  <c r="N138" i="143"/>
  <c r="L138" i="143"/>
  <c r="N137" i="143"/>
  <c r="L137" i="143"/>
  <c r="N136" i="143"/>
  <c r="L136" i="143"/>
  <c r="N135" i="143"/>
  <c r="L135" i="143"/>
  <c r="N134" i="143"/>
  <c r="L134" i="143"/>
  <c r="N133" i="143"/>
  <c r="L133" i="143"/>
  <c r="N132" i="143"/>
  <c r="L132" i="143"/>
  <c r="N131" i="143"/>
  <c r="L131" i="143"/>
  <c r="N130" i="143"/>
  <c r="L130" i="143"/>
  <c r="N129" i="143"/>
  <c r="L129" i="143"/>
  <c r="N128" i="143"/>
  <c r="L128" i="143"/>
  <c r="N127" i="143"/>
  <c r="L127" i="143"/>
  <c r="N126" i="143"/>
  <c r="L126" i="143"/>
  <c r="N125" i="143"/>
  <c r="L125" i="143"/>
  <c r="N124" i="143"/>
  <c r="L124" i="143"/>
  <c r="N123" i="143"/>
  <c r="L123" i="143"/>
  <c r="N122" i="143"/>
  <c r="L122" i="143"/>
  <c r="N121" i="143"/>
  <c r="L121" i="143"/>
  <c r="N120" i="143"/>
  <c r="L120" i="143"/>
  <c r="N119" i="143"/>
  <c r="L119" i="143"/>
  <c r="N118" i="143"/>
  <c r="L118" i="143"/>
  <c r="N117" i="143"/>
  <c r="L117" i="143"/>
  <c r="N116" i="143"/>
  <c r="L116" i="143"/>
  <c r="N115" i="143"/>
  <c r="L115" i="143"/>
  <c r="N114" i="143"/>
  <c r="L114" i="143"/>
  <c r="N113" i="143"/>
  <c r="L113" i="143"/>
  <c r="N112" i="143"/>
  <c r="L112" i="143"/>
  <c r="N111" i="143"/>
  <c r="L111" i="143"/>
  <c r="N110" i="143"/>
  <c r="L110" i="143"/>
  <c r="N109" i="143"/>
  <c r="L109" i="143"/>
  <c r="N108" i="143"/>
  <c r="L108" i="143"/>
  <c r="N107" i="143"/>
  <c r="L107" i="143"/>
  <c r="N106" i="143"/>
  <c r="L106" i="143"/>
  <c r="N105" i="143"/>
  <c r="L105" i="143"/>
  <c r="N104" i="143"/>
  <c r="L104" i="143"/>
  <c r="D104" i="143"/>
  <c r="C104" i="143"/>
  <c r="C105" i="143"/>
  <c r="C106" i="143"/>
  <c r="C107" i="143"/>
  <c r="C108" i="143"/>
  <c r="C109" i="143"/>
  <c r="C110" i="143"/>
  <c r="C111" i="143"/>
  <c r="C112" i="143"/>
  <c r="C113" i="143"/>
  <c r="C114" i="143"/>
  <c r="C115" i="143"/>
  <c r="C116" i="143"/>
  <c r="C117" i="143"/>
  <c r="C118" i="143"/>
  <c r="C119" i="143"/>
  <c r="C120" i="143"/>
  <c r="C121" i="143"/>
  <c r="C122" i="143"/>
  <c r="C123" i="143"/>
  <c r="C124" i="143"/>
  <c r="C125" i="143"/>
  <c r="C126" i="143"/>
  <c r="C127" i="143"/>
  <c r="C128" i="143"/>
  <c r="C129" i="143"/>
  <c r="C130" i="143"/>
  <c r="C131" i="143"/>
  <c r="I101" i="143"/>
  <c r="E104" i="143" s="1"/>
  <c r="K98" i="143"/>
  <c r="N20" i="129"/>
  <c r="Q33" i="143"/>
  <c r="C78" i="143"/>
  <c r="C76" i="143"/>
  <c r="C75" i="143"/>
  <c r="C73" i="143"/>
  <c r="C72" i="143"/>
  <c r="C70" i="143"/>
  <c r="C59" i="143"/>
  <c r="C58" i="143"/>
  <c r="C56" i="143"/>
  <c r="C53" i="143"/>
  <c r="C52" i="143"/>
  <c r="C49" i="143"/>
  <c r="C48" i="143"/>
  <c r="C39" i="143"/>
  <c r="C38" i="143"/>
  <c r="K19" i="143"/>
  <c r="C27" i="143"/>
  <c r="C21" i="143"/>
  <c r="C13" i="143"/>
  <c r="A12" i="143"/>
  <c r="A13" i="143" s="1"/>
  <c r="A14" i="143" s="1"/>
  <c r="A15" i="143" s="1"/>
  <c r="A16" i="143" s="1"/>
  <c r="A17" i="143" s="1"/>
  <c r="A18" i="143" s="1"/>
  <c r="A19" i="143" s="1"/>
  <c r="A23" i="143" s="1"/>
  <c r="A24" i="143" s="1"/>
  <c r="A25" i="143" s="1"/>
  <c r="A29" i="143" s="1"/>
  <c r="A30" i="143" s="1"/>
  <c r="A31" i="143" s="1"/>
  <c r="A32" i="143" s="1"/>
  <c r="A33" i="143" s="1"/>
  <c r="A34" i="143" s="1"/>
  <c r="A35" i="143" s="1"/>
  <c r="A36" i="143" s="1"/>
  <c r="A42" i="143" s="1"/>
  <c r="A43" i="143" s="1"/>
  <c r="A44" i="143" s="1"/>
  <c r="A45" i="143" s="1"/>
  <c r="A46" i="143" s="1"/>
  <c r="A49" i="143" s="1"/>
  <c r="A50" i="143" s="1"/>
  <c r="A51" i="143" s="1"/>
  <c r="A52" i="143" s="1"/>
  <c r="A53" i="143" s="1"/>
  <c r="A54" i="143" s="1"/>
  <c r="A55" i="143" s="1"/>
  <c r="A56" i="143" s="1"/>
  <c r="A59" i="143" s="1"/>
  <c r="A60" i="143" s="1"/>
  <c r="A61" i="143" s="1"/>
  <c r="A62" i="143" s="1"/>
  <c r="A63" i="143" s="1"/>
  <c r="A64" i="143" s="1"/>
  <c r="A65" i="143" s="1"/>
  <c r="A66" i="143" s="1"/>
  <c r="A67" i="143" s="1"/>
  <c r="A68" i="143" s="1"/>
  <c r="A71" i="143" s="1"/>
  <c r="A72" i="143" s="1"/>
  <c r="A73" i="143" s="1"/>
  <c r="A75" i="143" s="1"/>
  <c r="A76" i="143" s="1"/>
  <c r="A77" i="143" s="1"/>
  <c r="A78" i="143" s="1"/>
  <c r="F11" i="143"/>
  <c r="P13" i="143" s="1"/>
  <c r="C9" i="143"/>
  <c r="C7" i="143"/>
  <c r="A5" i="143"/>
  <c r="C59" i="89"/>
  <c r="C20" i="89"/>
  <c r="C6" i="139"/>
  <c r="A5" i="94"/>
  <c r="A5" i="78"/>
  <c r="C8" i="52"/>
  <c r="B10" i="52" s="1"/>
  <c r="A5" i="91"/>
  <c r="A6" i="96"/>
  <c r="A5" i="129"/>
  <c r="A5" i="52"/>
  <c r="A5" i="74"/>
  <c r="M5" i="74" s="1"/>
  <c r="F27" i="94"/>
  <c r="B7" i="94"/>
  <c r="S34" i="129"/>
  <c r="C58" i="129"/>
  <c r="A12" i="129"/>
  <c r="A13" i="129" s="1"/>
  <c r="A14" i="129" s="1"/>
  <c r="A15" i="129" s="1"/>
  <c r="A16" i="129" s="1"/>
  <c r="A17" i="129" s="1"/>
  <c r="A18" i="129" s="1"/>
  <c r="A19" i="129" s="1"/>
  <c r="A23" i="129" s="1"/>
  <c r="A24" i="129" s="1"/>
  <c r="A25" i="129" s="1"/>
  <c r="A29" i="129" s="1"/>
  <c r="A30" i="129" s="1"/>
  <c r="A31" i="129" s="1"/>
  <c r="A32" i="129" s="1"/>
  <c r="A33" i="129" s="1"/>
  <c r="A34" i="129" s="1"/>
  <c r="A35" i="129" s="1"/>
  <c r="A36" i="129" s="1"/>
  <c r="A42" i="129" s="1"/>
  <c r="A43" i="129" s="1"/>
  <c r="A44" i="129" s="1"/>
  <c r="A45" i="129" s="1"/>
  <c r="A46" i="129" s="1"/>
  <c r="A49" i="129" s="1"/>
  <c r="A50" i="129" s="1"/>
  <c r="A51" i="129" s="1"/>
  <c r="A52" i="129" s="1"/>
  <c r="A53" i="129" s="1"/>
  <c r="A54" i="129" s="1"/>
  <c r="A55" i="129" s="1"/>
  <c r="A56" i="129" s="1"/>
  <c r="A59" i="129" s="1"/>
  <c r="A60" i="129" s="1"/>
  <c r="A61" i="129" s="1"/>
  <c r="A62" i="129" s="1"/>
  <c r="A63" i="129" s="1"/>
  <c r="A64" i="129" s="1"/>
  <c r="A65" i="129" s="1"/>
  <c r="A66" i="129" s="1"/>
  <c r="A67" i="129" s="1"/>
  <c r="A68" i="129" s="1"/>
  <c r="A71" i="129" s="1"/>
  <c r="A72" i="129" s="1"/>
  <c r="A73" i="129" s="1"/>
  <c r="A75" i="129" s="1"/>
  <c r="A76" i="129" s="1"/>
  <c r="A77" i="129" s="1"/>
  <c r="A78" i="129" s="1"/>
  <c r="D11" i="39"/>
  <c r="F6" i="86"/>
  <c r="F44" i="86" s="1"/>
  <c r="F118" i="86" s="1"/>
  <c r="F198" i="86" s="1"/>
  <c r="F243" i="86" s="1"/>
  <c r="F59" i="39"/>
  <c r="G145" i="86" s="1"/>
  <c r="G21" i="91"/>
  <c r="G132" i="86" s="1"/>
  <c r="G52" i="74"/>
  <c r="D61" i="89"/>
  <c r="D62" i="89" s="1"/>
  <c r="G91" i="86" s="1"/>
  <c r="L147" i="139"/>
  <c r="N147" i="139"/>
  <c r="F37" i="89"/>
  <c r="M147" i="139"/>
  <c r="G59" i="89"/>
  <c r="G61" i="89" s="1"/>
  <c r="G62" i="89" s="1"/>
  <c r="J147" i="139"/>
  <c r="A16" i="78"/>
  <c r="A19" i="78" s="1"/>
  <c r="A20" i="78" s="1"/>
  <c r="A21" i="78" s="1"/>
  <c r="A24" i="78" s="1"/>
  <c r="A25" i="78" s="1"/>
  <c r="A26" i="78" s="1"/>
  <c r="A29" i="78" s="1"/>
  <c r="A30" i="78" s="1"/>
  <c r="A33" i="78" s="1"/>
  <c r="A34" i="78" s="1"/>
  <c r="A35" i="78" s="1"/>
  <c r="A36" i="78" s="1"/>
  <c r="A37" i="78" s="1"/>
  <c r="A38" i="78" s="1"/>
  <c r="A39" i="78" s="1"/>
  <c r="A40" i="78" s="1"/>
  <c r="A41" i="78" s="1"/>
  <c r="A42" i="78" s="1"/>
  <c r="A43" i="78" s="1"/>
  <c r="A44" i="78" s="1"/>
  <c r="E37" i="89"/>
  <c r="A41" i="94"/>
  <c r="A42" i="94" s="1"/>
  <c r="A43" i="94" s="1"/>
  <c r="A44" i="94" s="1"/>
  <c r="A45" i="94" s="1"/>
  <c r="E53" i="94"/>
  <c r="F61" i="143" s="1"/>
  <c r="P30" i="143" s="1"/>
  <c r="B13" i="91"/>
  <c r="B14" i="91" s="1"/>
  <c r="B15" i="91" s="1"/>
  <c r="B16" i="91" s="1"/>
  <c r="B17" i="91" s="1"/>
  <c r="B18" i="91" s="1"/>
  <c r="B19" i="91" s="1"/>
  <c r="B20" i="91" s="1"/>
  <c r="C7" i="129"/>
  <c r="C9" i="129"/>
  <c r="C13" i="129"/>
  <c r="C21" i="129"/>
  <c r="C27" i="129"/>
  <c r="C38" i="129"/>
  <c r="C39" i="129"/>
  <c r="C48" i="129"/>
  <c r="C49" i="129"/>
  <c r="C52" i="129"/>
  <c r="C53" i="129"/>
  <c r="C56" i="129"/>
  <c r="C59" i="129"/>
  <c r="C70" i="129"/>
  <c r="C72" i="129"/>
  <c r="C73" i="129"/>
  <c r="C75" i="129"/>
  <c r="C76" i="129"/>
  <c r="C78" i="129"/>
  <c r="S15" i="129"/>
  <c r="S16" i="129"/>
  <c r="S17" i="129"/>
  <c r="S18" i="129"/>
  <c r="S19" i="129"/>
  <c r="S20" i="129"/>
  <c r="A14" i="52"/>
  <c r="A16" i="52" s="1"/>
  <c r="A17" i="52" s="1"/>
  <c r="A18" i="52" s="1"/>
  <c r="A20" i="52" s="1"/>
  <c r="A22" i="52" s="1"/>
  <c r="E111" i="86" s="1"/>
  <c r="F46" i="86"/>
  <c r="F120" i="86" s="1"/>
  <c r="F200" i="86" s="1"/>
  <c r="F245" i="86" s="1"/>
  <c r="F42" i="86"/>
  <c r="F116" i="86" s="1"/>
  <c r="F196" i="86" s="1"/>
  <c r="F241" i="86" s="1"/>
  <c r="F43" i="86"/>
  <c r="F117" i="86" s="1"/>
  <c r="F197" i="86" s="1"/>
  <c r="F242" i="86" s="1"/>
  <c r="B52" i="86"/>
  <c r="B126" i="86" s="1"/>
  <c r="B53" i="86"/>
  <c r="B127" i="86" s="1"/>
  <c r="D66" i="86"/>
  <c r="D78" i="86" s="1"/>
  <c r="D68" i="86"/>
  <c r="D79" i="86" s="1"/>
  <c r="D70" i="86"/>
  <c r="D80" i="86" s="1"/>
  <c r="D72" i="86"/>
  <c r="D81" i="86" s="1"/>
  <c r="D74" i="86"/>
  <c r="D82" i="86" s="1"/>
  <c r="E124" i="86"/>
  <c r="L124" i="86"/>
  <c r="E125" i="86"/>
  <c r="G125" i="86"/>
  <c r="I125" i="86"/>
  <c r="L125" i="86"/>
  <c r="D274" i="86"/>
  <c r="A20" i="89"/>
  <c r="A22" i="89" s="1"/>
  <c r="A23" i="89" s="1"/>
  <c r="O20" i="129"/>
  <c r="F11" i="129"/>
  <c r="R14" i="129" s="1"/>
  <c r="P20" i="129"/>
  <c r="L35" i="86"/>
  <c r="K32" i="147" s="1"/>
  <c r="C132" i="143"/>
  <c r="C133" i="143"/>
  <c r="C134" i="143"/>
  <c r="C135" i="143"/>
  <c r="C136" i="143"/>
  <c r="C137" i="143"/>
  <c r="C138" i="143"/>
  <c r="C139" i="143"/>
  <c r="C140" i="143"/>
  <c r="C141" i="143"/>
  <c r="C142" i="143"/>
  <c r="C143" i="143"/>
  <c r="C144" i="143"/>
  <c r="C145" i="143"/>
  <c r="C146" i="143"/>
  <c r="C147" i="143"/>
  <c r="C148" i="143"/>
  <c r="C149" i="143"/>
  <c r="C150" i="143"/>
  <c r="C151" i="143"/>
  <c r="C152" i="143"/>
  <c r="C153" i="143"/>
  <c r="C154" i="143"/>
  <c r="C155" i="143"/>
  <c r="C156" i="143"/>
  <c r="C157" i="143"/>
  <c r="C158" i="143"/>
  <c r="C159" i="143"/>
  <c r="N94" i="143"/>
  <c r="D33" i="89"/>
  <c r="D52" i="74"/>
  <c r="G186" i="86"/>
  <c r="L186" i="86" s="1"/>
  <c r="G104" i="86"/>
  <c r="C20" i="52"/>
  <c r="C22" i="52" s="1"/>
  <c r="G103" i="86"/>
  <c r="H216" i="86"/>
  <c r="K22" i="96"/>
  <c r="H218" i="86"/>
  <c r="L218" i="86"/>
  <c r="G143" i="86"/>
  <c r="L67" i="86"/>
  <c r="L70" i="86"/>
  <c r="I46" i="78"/>
  <c r="G160" i="86" s="1"/>
  <c r="G219" i="86"/>
  <c r="J15" i="149"/>
  <c r="J18" i="149" s="1"/>
  <c r="J22" i="149" s="1"/>
  <c r="L17" i="96"/>
  <c r="M22" i="96"/>
  <c r="L71" i="86"/>
  <c r="G46" i="78"/>
  <c r="G162" i="86" s="1"/>
  <c r="H217" i="86"/>
  <c r="L217" i="86"/>
  <c r="L18" i="149"/>
  <c r="L22" i="149" s="1"/>
  <c r="O105" i="143" l="1"/>
  <c r="O117" i="143"/>
  <c r="O129" i="143"/>
  <c r="O137" i="143"/>
  <c r="O110" i="143"/>
  <c r="O114" i="143"/>
  <c r="O118" i="143"/>
  <c r="O122" i="143"/>
  <c r="O126" i="143"/>
  <c r="O146" i="143"/>
  <c r="O107" i="143"/>
  <c r="O120" i="143"/>
  <c r="O124" i="143"/>
  <c r="O136" i="143"/>
  <c r="O140" i="143"/>
  <c r="O148" i="143"/>
  <c r="F104" i="143"/>
  <c r="D105" i="143" s="1"/>
  <c r="B105" i="143" s="1"/>
  <c r="O134" i="143"/>
  <c r="O155" i="143"/>
  <c r="K40" i="94"/>
  <c r="F61" i="129"/>
  <c r="R31" i="129" s="1"/>
  <c r="O154" i="143"/>
  <c r="I40" i="94"/>
  <c r="B13" i="225"/>
  <c r="A46" i="94"/>
  <c r="A48" i="94" s="1"/>
  <c r="A50" i="94" s="1"/>
  <c r="A51" i="94" s="1"/>
  <c r="A52" i="94" s="1"/>
  <c r="A53" i="94" s="1"/>
  <c r="D47" i="94"/>
  <c r="O143" i="143"/>
  <c r="O147" i="143"/>
  <c r="O159" i="143"/>
  <c r="F22" i="149"/>
  <c r="F13" i="143"/>
  <c r="E18" i="143" s="1"/>
  <c r="B16" i="86"/>
  <c r="G18" i="147" s="1"/>
  <c r="G16" i="147"/>
  <c r="B13" i="196"/>
  <c r="F13" i="129"/>
  <c r="E18" i="129" s="1"/>
  <c r="K26" i="147"/>
  <c r="B11" i="178"/>
  <c r="F138" i="215"/>
  <c r="B138" i="215"/>
  <c r="I137" i="215"/>
  <c r="A81" i="129"/>
  <c r="A82" i="129" s="1"/>
  <c r="A83" i="129" s="1"/>
  <c r="A84" i="129" s="1"/>
  <c r="A85" i="129" s="1"/>
  <c r="O145" i="143"/>
  <c r="A81" i="143"/>
  <c r="A82" i="143" s="1"/>
  <c r="A83" i="143" s="1"/>
  <c r="A84" i="143" s="1"/>
  <c r="A85" i="143" s="1"/>
  <c r="O138" i="143"/>
  <c r="O108" i="143"/>
  <c r="O152" i="143"/>
  <c r="O156" i="143"/>
  <c r="O109" i="143"/>
  <c r="O113" i="143"/>
  <c r="O133" i="143"/>
  <c r="F18" i="149"/>
  <c r="F29" i="94"/>
  <c r="F300" i="86" s="1"/>
  <c r="G168" i="86" s="1"/>
  <c r="F30" i="143" s="1"/>
  <c r="P21" i="143" s="1"/>
  <c r="O142" i="143"/>
  <c r="O149" i="143"/>
  <c r="O157" i="143"/>
  <c r="O111" i="143"/>
  <c r="O119" i="143"/>
  <c r="O123" i="143"/>
  <c r="O127" i="143"/>
  <c r="O131" i="143"/>
  <c r="O139" i="143"/>
  <c r="O112" i="143"/>
  <c r="H47" i="145"/>
  <c r="O151" i="143"/>
  <c r="I52" i="74"/>
  <c r="G106" i="86" s="1"/>
  <c r="G107" i="86"/>
  <c r="E52" i="74"/>
  <c r="J52" i="74"/>
  <c r="H219" i="86"/>
  <c r="G134" i="86"/>
  <c r="G101" i="86" s="1"/>
  <c r="J236" i="86"/>
  <c r="M46" i="78"/>
  <c r="G163" i="86" s="1"/>
  <c r="L163" i="86" s="1"/>
  <c r="B21" i="91"/>
  <c r="E132" i="86" s="1"/>
  <c r="F21" i="91"/>
  <c r="O116" i="143"/>
  <c r="O121" i="143"/>
  <c r="O128" i="143"/>
  <c r="O130" i="143"/>
  <c r="O132" i="143"/>
  <c r="O141" i="143"/>
  <c r="O150" i="143"/>
  <c r="O158" i="143"/>
  <c r="O106" i="143"/>
  <c r="O115" i="143"/>
  <c r="O125" i="143"/>
  <c r="O153" i="143"/>
  <c r="A24" i="89"/>
  <c r="A25" i="89" s="1"/>
  <c r="A26" i="89" s="1"/>
  <c r="A27" i="89" s="1"/>
  <c r="A32" i="89" s="1"/>
  <c r="A33" i="89" s="1"/>
  <c r="A35" i="89" s="1"/>
  <c r="A36" i="89" s="1"/>
  <c r="A37" i="89" s="1"/>
  <c r="A38" i="89" s="1"/>
  <c r="A44" i="89" s="1"/>
  <c r="A45" i="89" s="1"/>
  <c r="A47" i="89" s="1"/>
  <c r="A48" i="89" s="1"/>
  <c r="L66" i="86"/>
  <c r="L55" i="86"/>
  <c r="F26" i="149"/>
  <c r="G28" i="147"/>
  <c r="B28" i="147"/>
  <c r="H15" i="149"/>
  <c r="H18" i="149" s="1"/>
  <c r="H22" i="149" s="1"/>
  <c r="I18" i="147"/>
  <c r="C18" i="145"/>
  <c r="D18" i="145" s="1"/>
  <c r="C54" i="145"/>
  <c r="H54" i="145" s="1"/>
  <c r="C52" i="145"/>
  <c r="H52" i="145" s="1"/>
  <c r="E14" i="145"/>
  <c r="A14" i="145"/>
  <c r="A18" i="145" s="1"/>
  <c r="A19" i="145" s="1"/>
  <c r="A20" i="145" s="1"/>
  <c r="A21" i="145" s="1"/>
  <c r="A22" i="145" s="1"/>
  <c r="A23" i="145" s="1"/>
  <c r="A24" i="145" s="1"/>
  <c r="A25" i="145" s="1"/>
  <c r="A26" i="145" s="1"/>
  <c r="A27" i="145" s="1"/>
  <c r="A28" i="145" s="1"/>
  <c r="A29" i="145" s="1"/>
  <c r="A30" i="145" s="1"/>
  <c r="A32" i="145" s="1"/>
  <c r="A34" i="145" s="1"/>
  <c r="C53" i="145"/>
  <c r="H53" i="145" s="1"/>
  <c r="C51" i="145"/>
  <c r="H51" i="145" s="1"/>
  <c r="C49" i="145"/>
  <c r="H49" i="145" s="1"/>
  <c r="E13" i="145"/>
  <c r="H44" i="145"/>
  <c r="I44" i="145" s="1"/>
  <c r="C45" i="145"/>
  <c r="H45" i="145" s="1"/>
  <c r="C55" i="145"/>
  <c r="H55" i="145" s="1"/>
  <c r="C46" i="145"/>
  <c r="H46" i="145" s="1"/>
  <c r="C56" i="145"/>
  <c r="H56" i="145" s="1"/>
  <c r="C48" i="145"/>
  <c r="H48" i="145" s="1"/>
  <c r="C50" i="145"/>
  <c r="H50" i="145" s="1"/>
  <c r="D44" i="145"/>
  <c r="B22" i="52"/>
  <c r="C44" i="89"/>
  <c r="I23" i="147"/>
  <c r="I26" i="147" s="1"/>
  <c r="I97" i="143"/>
  <c r="B20" i="52"/>
  <c r="M52" i="96"/>
  <c r="G14" i="86" s="1"/>
  <c r="L14" i="86" s="1"/>
  <c r="K16" i="147" s="1"/>
  <c r="I16" i="147" s="1"/>
  <c r="I32" i="147"/>
  <c r="B26" i="149"/>
  <c r="B28" i="149" s="1"/>
  <c r="C33" i="89"/>
  <c r="C45" i="89"/>
  <c r="O135" i="143"/>
  <c r="O144" i="143"/>
  <c r="K46" i="78"/>
  <c r="G164" i="86" s="1"/>
  <c r="L58" i="86"/>
  <c r="L80" i="86" s="1"/>
  <c r="G80" i="86"/>
  <c r="G81" i="86"/>
  <c r="G75" i="86"/>
  <c r="F83" i="143"/>
  <c r="F84" i="143" s="1"/>
  <c r="F85" i="143" s="1"/>
  <c r="L206" i="86"/>
  <c r="J64" i="86"/>
  <c r="H26" i="89" s="1"/>
  <c r="B52" i="96"/>
  <c r="C52" i="96"/>
  <c r="O104" i="143"/>
  <c r="F13" i="225" l="1"/>
  <c r="P44" i="225" s="1"/>
  <c r="F13" i="196"/>
  <c r="D21" i="196" s="1"/>
  <c r="P21" i="196" s="1"/>
  <c r="I45" i="145"/>
  <c r="I46" i="145" s="1"/>
  <c r="I47" i="145" s="1"/>
  <c r="I48" i="145" s="1"/>
  <c r="I49" i="145" s="1"/>
  <c r="I50" i="145" s="1"/>
  <c r="I51" i="145" s="1"/>
  <c r="I52" i="145" s="1"/>
  <c r="I53" i="145" s="1"/>
  <c r="I54" i="145" s="1"/>
  <c r="I55" i="145" s="1"/>
  <c r="I56" i="145" s="1"/>
  <c r="I58" i="145" s="1"/>
  <c r="E105" i="143"/>
  <c r="F105" i="143" s="1"/>
  <c r="G105" i="143" s="1"/>
  <c r="B18" i="86"/>
  <c r="B23" i="86" s="1"/>
  <c r="E18" i="86"/>
  <c r="E88" i="86"/>
  <c r="D21" i="225"/>
  <c r="F22" i="225" s="1"/>
  <c r="J22" i="225" s="1"/>
  <c r="N22" i="225" s="1"/>
  <c r="B32" i="147"/>
  <c r="B34" i="147" s="1"/>
  <c r="P44" i="196"/>
  <c r="F22" i="196"/>
  <c r="J22" i="196" s="1"/>
  <c r="N22" i="196" s="1"/>
  <c r="D22" i="196"/>
  <c r="D23" i="196" s="1"/>
  <c r="E144" i="86"/>
  <c r="A57" i="39"/>
  <c r="A59" i="39" s="1"/>
  <c r="F30" i="129"/>
  <c r="R22" i="129" s="1"/>
  <c r="G172" i="86"/>
  <c r="G180" i="86" s="1"/>
  <c r="D139" i="215"/>
  <c r="E139" i="215" s="1"/>
  <c r="G138" i="215"/>
  <c r="H138" i="215"/>
  <c r="A37" i="145"/>
  <c r="C24" i="89"/>
  <c r="M47" i="78"/>
  <c r="L107" i="86"/>
  <c r="G105" i="86"/>
  <c r="G108" i="86"/>
  <c r="L108" i="86" s="1"/>
  <c r="H18" i="145"/>
  <c r="I18" i="145" s="1"/>
  <c r="G165" i="86"/>
  <c r="J23" i="149"/>
  <c r="L23" i="149" s="1"/>
  <c r="E17" i="129"/>
  <c r="R19" i="129" s="1"/>
  <c r="E17" i="143"/>
  <c r="P18" i="143" s="1"/>
  <c r="C61" i="143"/>
  <c r="Q30" i="143" s="1"/>
  <c r="B40" i="94"/>
  <c r="C61" i="129"/>
  <c r="S31" i="129" s="1"/>
  <c r="C53" i="94"/>
  <c r="E89" i="86"/>
  <c r="G36" i="147"/>
  <c r="B34" i="145"/>
  <c r="D45" i="145"/>
  <c r="D46" i="145" s="1"/>
  <c r="D47" i="145" s="1"/>
  <c r="D48" i="145" s="1"/>
  <c r="D49" i="145" s="1"/>
  <c r="D50" i="145" s="1"/>
  <c r="D51" i="145" s="1"/>
  <c r="D52" i="145" s="1"/>
  <c r="D53" i="145" s="1"/>
  <c r="D54" i="145" s="1"/>
  <c r="D55" i="145" s="1"/>
  <c r="D56" i="145" s="1"/>
  <c r="D58" i="145" s="1"/>
  <c r="F83" i="129"/>
  <c r="F84" i="129" s="1"/>
  <c r="F85" i="129" s="1"/>
  <c r="A49" i="89"/>
  <c r="A50" i="89" s="1"/>
  <c r="A51" i="89" s="1"/>
  <c r="A52" i="89" s="1"/>
  <c r="A58" i="89" s="1"/>
  <c r="A59" i="89" s="1"/>
  <c r="A61" i="89" s="1"/>
  <c r="A62" i="89" s="1"/>
  <c r="F29" i="149"/>
  <c r="F31" i="149"/>
  <c r="D30" i="149"/>
  <c r="D32" i="149"/>
  <c r="D29" i="149"/>
  <c r="D31" i="149"/>
  <c r="B29" i="149"/>
  <c r="B30" i="149" s="1"/>
  <c r="B31" i="149" s="1"/>
  <c r="B32" i="149" s="1"/>
  <c r="F30" i="149"/>
  <c r="F32" i="149"/>
  <c r="F28" i="149"/>
  <c r="G79" i="86"/>
  <c r="H37" i="89"/>
  <c r="G78" i="86"/>
  <c r="L54" i="86"/>
  <c r="G63" i="86"/>
  <c r="H105" i="143" l="1"/>
  <c r="I105" i="143" s="1"/>
  <c r="D106" i="143"/>
  <c r="B106" i="143" s="1"/>
  <c r="G20" i="147"/>
  <c r="D22" i="225"/>
  <c r="D23" i="225" s="1"/>
  <c r="P21" i="225"/>
  <c r="I138" i="215"/>
  <c r="G34" i="147"/>
  <c r="B36" i="147"/>
  <c r="B38" i="147" s="1"/>
  <c r="P22" i="196"/>
  <c r="F23" i="196"/>
  <c r="J23" i="196" s="1"/>
  <c r="N23" i="196" s="1"/>
  <c r="H26" i="196" s="1"/>
  <c r="L180" i="86"/>
  <c r="F35" i="129" s="1"/>
  <c r="R25" i="129" s="1"/>
  <c r="E145" i="86"/>
  <c r="G178" i="86"/>
  <c r="B139" i="215"/>
  <c r="F139" i="215"/>
  <c r="I60" i="145"/>
  <c r="F49" i="89" s="1"/>
  <c r="A38" i="145"/>
  <c r="A39" i="145" s="1"/>
  <c r="G109" i="86"/>
  <c r="G83" i="86"/>
  <c r="A18" i="74"/>
  <c r="E90" i="86"/>
  <c r="A63" i="89"/>
  <c r="A64" i="89" s="1"/>
  <c r="E91" i="86" s="1"/>
  <c r="B25" i="86"/>
  <c r="B26" i="86" s="1"/>
  <c r="G23" i="147"/>
  <c r="H51" i="89"/>
  <c r="L78" i="86"/>
  <c r="G111" i="86"/>
  <c r="E106" i="143" l="1"/>
  <c r="F106" i="143" s="1"/>
  <c r="D107" i="143" s="1"/>
  <c r="E107" i="143" s="1"/>
  <c r="P22" i="225"/>
  <c r="F23" i="225"/>
  <c r="J23" i="225" s="1"/>
  <c r="N23" i="225" s="1"/>
  <c r="H25" i="225" s="1"/>
  <c r="G38" i="147"/>
  <c r="E39" i="145"/>
  <c r="F35" i="143"/>
  <c r="P24" i="143" s="1"/>
  <c r="H25" i="196"/>
  <c r="D24" i="225"/>
  <c r="H24" i="196"/>
  <c r="D24" i="196"/>
  <c r="F24" i="196"/>
  <c r="P23" i="196"/>
  <c r="A62" i="39"/>
  <c r="D140" i="215"/>
  <c r="E140" i="215" s="1"/>
  <c r="G139" i="215"/>
  <c r="H139" i="215"/>
  <c r="E40" i="145"/>
  <c r="A40" i="145"/>
  <c r="A44" i="145" s="1"/>
  <c r="A45" i="145" s="1"/>
  <c r="A46" i="145" s="1"/>
  <c r="A47" i="145" s="1"/>
  <c r="A48" i="145" s="1"/>
  <c r="A49" i="145" s="1"/>
  <c r="A50" i="145" s="1"/>
  <c r="A51" i="145" s="1"/>
  <c r="A52" i="145" s="1"/>
  <c r="A53" i="145" s="1"/>
  <c r="A54" i="145" s="1"/>
  <c r="A55" i="145" s="1"/>
  <c r="A56" i="145" s="1"/>
  <c r="A58" i="145" s="1"/>
  <c r="E104" i="86"/>
  <c r="A25" i="74"/>
  <c r="A26" i="74" s="1"/>
  <c r="A27" i="74" s="1"/>
  <c r="N42" i="190"/>
  <c r="N45" i="190" s="1"/>
  <c r="L96" i="86" s="1"/>
  <c r="D29" i="86"/>
  <c r="E27" i="86"/>
  <c r="B27" i="86"/>
  <c r="B29" i="86" s="1"/>
  <c r="L111" i="86"/>
  <c r="G106" i="143" l="1"/>
  <c r="H106" i="143"/>
  <c r="P23" i="225"/>
  <c r="H24" i="225"/>
  <c r="F24" i="225"/>
  <c r="F25" i="225" s="1"/>
  <c r="J25" i="225" s="1"/>
  <c r="N25" i="225" s="1"/>
  <c r="H26" i="225"/>
  <c r="I139" i="215"/>
  <c r="A63" i="39"/>
  <c r="A64" i="39" s="1"/>
  <c r="A65" i="39" s="1"/>
  <c r="A66" i="39" s="1"/>
  <c r="A67" i="39" s="1"/>
  <c r="A68" i="39" s="1"/>
  <c r="A69" i="39" s="1"/>
  <c r="J24" i="196"/>
  <c r="N24" i="196" s="1"/>
  <c r="P24" i="196" s="1"/>
  <c r="D25" i="225"/>
  <c r="F25" i="196"/>
  <c r="J25" i="196" s="1"/>
  <c r="N25" i="196" s="1"/>
  <c r="D25" i="196"/>
  <c r="F140" i="215"/>
  <c r="B140" i="215"/>
  <c r="A60" i="145"/>
  <c r="C49" i="89" s="1"/>
  <c r="B60" i="145"/>
  <c r="B107" i="143"/>
  <c r="F107" i="143"/>
  <c r="A28" i="74"/>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2" i="74" s="1"/>
  <c r="B30" i="86"/>
  <c r="D32" i="86"/>
  <c r="I106" i="143" l="1"/>
  <c r="J24" i="225"/>
  <c r="N24" i="225" s="1"/>
  <c r="P24" i="225" s="1"/>
  <c r="A71" i="39"/>
  <c r="E146" i="86" s="1"/>
  <c r="P25" i="196"/>
  <c r="F26" i="196"/>
  <c r="J26" i="196" s="1"/>
  <c r="N26" i="196" s="1"/>
  <c r="H27" i="196" s="1"/>
  <c r="D26" i="196"/>
  <c r="D26" i="225"/>
  <c r="F26" i="225"/>
  <c r="J26" i="225" s="1"/>
  <c r="N26" i="225" s="1"/>
  <c r="D141" i="215"/>
  <c r="E141" i="215" s="1"/>
  <c r="H140" i="215"/>
  <c r="G140" i="215"/>
  <c r="E107" i="86"/>
  <c r="E106" i="86"/>
  <c r="E105" i="86"/>
  <c r="E108" i="86"/>
  <c r="G107" i="143"/>
  <c r="H107" i="143"/>
  <c r="D108" i="143"/>
  <c r="B108" i="143" s="1"/>
  <c r="B32" i="86"/>
  <c r="B33" i="86" s="1"/>
  <c r="C77" i="143"/>
  <c r="Q32" i="143" s="1"/>
  <c r="C77" i="129"/>
  <c r="S33" i="129" s="1"/>
  <c r="P25" i="225" l="1"/>
  <c r="H29" i="225"/>
  <c r="H27" i="225"/>
  <c r="H28" i="225"/>
  <c r="H28" i="196"/>
  <c r="F27" i="196"/>
  <c r="J27" i="196" s="1"/>
  <c r="N27" i="196" s="1"/>
  <c r="D27" i="196"/>
  <c r="D27" i="225"/>
  <c r="F27" i="225"/>
  <c r="P26" i="225"/>
  <c r="P26" i="196"/>
  <c r="H29" i="196"/>
  <c r="I140" i="215"/>
  <c r="F141" i="215"/>
  <c r="B141" i="215"/>
  <c r="E108" i="143"/>
  <c r="F108" i="143" s="1"/>
  <c r="G108" i="143" s="1"/>
  <c r="I107" i="143"/>
  <c r="B35" i="86"/>
  <c r="B20" i="86"/>
  <c r="H108" i="143" l="1"/>
  <c r="I108" i="143" s="1"/>
  <c r="D109" i="143"/>
  <c r="E109" i="143" s="1"/>
  <c r="F109" i="143" s="1"/>
  <c r="D110" i="143" s="1"/>
  <c r="P27" i="196"/>
  <c r="D28" i="225"/>
  <c r="F28" i="225"/>
  <c r="J28" i="225" s="1"/>
  <c r="N28" i="225" s="1"/>
  <c r="J27" i="225"/>
  <c r="N27" i="225" s="1"/>
  <c r="P27" i="225" s="1"/>
  <c r="D28" i="196"/>
  <c r="F28" i="196"/>
  <c r="J28" i="196" s="1"/>
  <c r="N28" i="196" s="1"/>
  <c r="G141" i="215"/>
  <c r="D142" i="215"/>
  <c r="E142" i="215" s="1"/>
  <c r="H141" i="215"/>
  <c r="B54" i="86"/>
  <c r="G32" i="147"/>
  <c r="D259" i="86"/>
  <c r="B109" i="143" l="1"/>
  <c r="I141" i="215"/>
  <c r="P28" i="225"/>
  <c r="D29" i="225"/>
  <c r="F29" i="225"/>
  <c r="J29" i="225" s="1"/>
  <c r="N29" i="225" s="1"/>
  <c r="F29" i="196"/>
  <c r="J29" i="196" s="1"/>
  <c r="N29" i="196" s="1"/>
  <c r="H32" i="196" s="1"/>
  <c r="D29" i="196"/>
  <c r="D30" i="196" s="1"/>
  <c r="D31" i="196" s="1"/>
  <c r="P28" i="196"/>
  <c r="F142" i="215"/>
  <c r="B142" i="215"/>
  <c r="G109" i="143"/>
  <c r="E110" i="143"/>
  <c r="F110" i="143" s="1"/>
  <c r="H109" i="143"/>
  <c r="B55" i="86"/>
  <c r="B56" i="86" s="1"/>
  <c r="B110" i="143"/>
  <c r="H31" i="196" l="1"/>
  <c r="H32" i="225"/>
  <c r="H31" i="225"/>
  <c r="H30" i="225"/>
  <c r="D30" i="225"/>
  <c r="F30" i="225"/>
  <c r="P29" i="225"/>
  <c r="F30" i="196"/>
  <c r="P29" i="196"/>
  <c r="H30" i="196"/>
  <c r="D143" i="215"/>
  <c r="E143" i="215" s="1"/>
  <c r="H142" i="215"/>
  <c r="G142" i="215"/>
  <c r="I109" i="143"/>
  <c r="E206" i="86"/>
  <c r="B57" i="86"/>
  <c r="B58" i="86" s="1"/>
  <c r="D111" i="143"/>
  <c r="E111" i="143" s="1"/>
  <c r="H110" i="143"/>
  <c r="G110" i="143"/>
  <c r="J30" i="196" l="1"/>
  <c r="N30" i="196" s="1"/>
  <c r="P30" i="196" s="1"/>
  <c r="F31" i="196"/>
  <c r="J31" i="196" s="1"/>
  <c r="N31" i="196" s="1"/>
  <c r="D31" i="225"/>
  <c r="F31" i="225"/>
  <c r="J31" i="225" s="1"/>
  <c r="N31" i="225" s="1"/>
  <c r="J30" i="225"/>
  <c r="N30" i="225" s="1"/>
  <c r="P30" i="225" s="1"/>
  <c r="I142" i="215"/>
  <c r="B143" i="215"/>
  <c r="F143" i="215"/>
  <c r="B59" i="86"/>
  <c r="B60" i="86" s="1"/>
  <c r="I110" i="143"/>
  <c r="B111" i="143"/>
  <c r="F111" i="143"/>
  <c r="D32" i="225" l="1"/>
  <c r="F32" i="225"/>
  <c r="J32" i="225" s="1"/>
  <c r="N32" i="225" s="1"/>
  <c r="H37" i="225" s="1"/>
  <c r="P31" i="225"/>
  <c r="D32" i="196"/>
  <c r="F32" i="196"/>
  <c r="J32" i="196" s="1"/>
  <c r="N32" i="196" s="1"/>
  <c r="P31" i="196"/>
  <c r="H143" i="215"/>
  <c r="D144" i="215"/>
  <c r="G143" i="215"/>
  <c r="G111" i="143"/>
  <c r="D112" i="143"/>
  <c r="E112" i="143" s="1"/>
  <c r="H111" i="143"/>
  <c r="B61" i="86"/>
  <c r="B62" i="86" s="1"/>
  <c r="F35" i="196" l="1"/>
  <c r="P32" i="196"/>
  <c r="H36" i="225"/>
  <c r="H35" i="225"/>
  <c r="H37" i="196"/>
  <c r="H35" i="196"/>
  <c r="H36" i="196"/>
  <c r="F35" i="225"/>
  <c r="P32" i="225"/>
  <c r="B144" i="215"/>
  <c r="E144" i="215"/>
  <c r="F144" i="215" s="1"/>
  <c r="I143" i="215"/>
  <c r="I111" i="143"/>
  <c r="B63" i="86"/>
  <c r="B65" i="86" s="1"/>
  <c r="B66" i="86" s="1"/>
  <c r="E63" i="86"/>
  <c r="B112" i="143"/>
  <c r="F112" i="143"/>
  <c r="F36" i="225" l="1"/>
  <c r="J35" i="225"/>
  <c r="N35" i="225" s="1"/>
  <c r="F36" i="196"/>
  <c r="J35" i="196"/>
  <c r="N35" i="196" s="1"/>
  <c r="D145" i="215"/>
  <c r="E145" i="215" s="1"/>
  <c r="G144" i="215"/>
  <c r="H144" i="215"/>
  <c r="H112" i="143"/>
  <c r="D113" i="143"/>
  <c r="E113" i="143" s="1"/>
  <c r="G112" i="143"/>
  <c r="B67" i="86"/>
  <c r="B68" i="86" s="1"/>
  <c r="I144" i="215" l="1"/>
  <c r="F37" i="225"/>
  <c r="J36" i="225"/>
  <c r="N36" i="225" s="1"/>
  <c r="P36" i="225" s="1"/>
  <c r="P35" i="196"/>
  <c r="J36" i="196"/>
  <c r="N36" i="196" s="1"/>
  <c r="F37" i="196"/>
  <c r="P35" i="225"/>
  <c r="F145" i="215"/>
  <c r="B145" i="215"/>
  <c r="E78" i="86"/>
  <c r="I112" i="143"/>
  <c r="B69" i="86"/>
  <c r="B70" i="86" s="1"/>
  <c r="B113" i="143"/>
  <c r="F113" i="143"/>
  <c r="F38" i="196" l="1"/>
  <c r="F39" i="196" s="1"/>
  <c r="J37" i="196"/>
  <c r="N37" i="196" s="1"/>
  <c r="H38" i="196" s="1"/>
  <c r="P36" i="196"/>
  <c r="F38" i="225"/>
  <c r="F39" i="225" s="1"/>
  <c r="J37" i="225"/>
  <c r="N37" i="225" s="1"/>
  <c r="H145" i="215"/>
  <c r="G145" i="215"/>
  <c r="D146" i="215"/>
  <c r="E146" i="215" s="1"/>
  <c r="D114" i="143"/>
  <c r="E114" i="143" s="1"/>
  <c r="H113" i="143"/>
  <c r="G113" i="143"/>
  <c r="B71" i="86"/>
  <c r="B72" i="86" s="1"/>
  <c r="E79" i="86"/>
  <c r="J38" i="196" l="1"/>
  <c r="N38" i="196" s="1"/>
  <c r="P38" i="196" s="1"/>
  <c r="H40" i="196"/>
  <c r="H39" i="196"/>
  <c r="J39" i="196" s="1"/>
  <c r="N39" i="196" s="1"/>
  <c r="P37" i="196"/>
  <c r="F40" i="196"/>
  <c r="F40" i="225"/>
  <c r="H39" i="225"/>
  <c r="J39" i="225" s="1"/>
  <c r="N39" i="225" s="1"/>
  <c r="H40" i="225"/>
  <c r="P37" i="225"/>
  <c r="H38" i="225"/>
  <c r="J38" i="225" s="1"/>
  <c r="N38" i="225" s="1"/>
  <c r="P38" i="225" s="1"/>
  <c r="F146" i="215"/>
  <c r="B146" i="215"/>
  <c r="I145" i="215"/>
  <c r="E80" i="86"/>
  <c r="I113" i="143"/>
  <c r="B73" i="86"/>
  <c r="B74" i="86" s="1"/>
  <c r="B114" i="143"/>
  <c r="F114" i="143"/>
  <c r="J40" i="196" l="1"/>
  <c r="N40" i="196" s="1"/>
  <c r="P40" i="196" s="1"/>
  <c r="P43" i="196" s="1"/>
  <c r="P45" i="196" s="1"/>
  <c r="P39" i="225"/>
  <c r="J40" i="225"/>
  <c r="N40" i="225" s="1"/>
  <c r="P40" i="225" s="1"/>
  <c r="P43" i="225" s="1"/>
  <c r="P45" i="225" s="1"/>
  <c r="P39" i="196"/>
  <c r="D147" i="215"/>
  <c r="E147" i="215" s="1"/>
  <c r="G146" i="215"/>
  <c r="H146" i="215"/>
  <c r="E81" i="86"/>
  <c r="D115" i="143"/>
  <c r="E115" i="143" s="1"/>
  <c r="H114" i="143"/>
  <c r="G114" i="143"/>
  <c r="B75" i="86"/>
  <c r="B77" i="86" s="1"/>
  <c r="B78" i="86" s="1"/>
  <c r="E82" i="86"/>
  <c r="E75" i="86"/>
  <c r="I146" i="215" l="1"/>
  <c r="F147" i="215"/>
  <c r="B147" i="215"/>
  <c r="B79" i="86"/>
  <c r="B115" i="143"/>
  <c r="F115" i="143"/>
  <c r="I114" i="143"/>
  <c r="D148" i="215" l="1"/>
  <c r="E148" i="215" s="1"/>
  <c r="H147" i="215"/>
  <c r="G147" i="215"/>
  <c r="G115" i="143"/>
  <c r="H115" i="143"/>
  <c r="D116" i="143"/>
  <c r="E116" i="143" s="1"/>
  <c r="C71" i="143"/>
  <c r="Q31" i="143" s="1"/>
  <c r="C71" i="129"/>
  <c r="S32" i="129" s="1"/>
  <c r="B80" i="86"/>
  <c r="B81" i="86" s="1"/>
  <c r="B82" i="86" s="1"/>
  <c r="E26" i="86"/>
  <c r="I147" i="215" l="1"/>
  <c r="B148" i="215"/>
  <c r="F148" i="215"/>
  <c r="F116" i="143"/>
  <c r="B116" i="143"/>
  <c r="B83" i="86"/>
  <c r="E83" i="86"/>
  <c r="I115" i="143"/>
  <c r="D149" i="215" l="1"/>
  <c r="E149" i="215" s="1"/>
  <c r="G148" i="215"/>
  <c r="H148" i="215"/>
  <c r="D117" i="143"/>
  <c r="E117" i="143" s="1"/>
  <c r="H116" i="143"/>
  <c r="G116" i="143"/>
  <c r="B86" i="86"/>
  <c r="B87" i="86" s="1"/>
  <c r="I148" i="215" l="1"/>
  <c r="F149" i="215"/>
  <c r="B149" i="215"/>
  <c r="I116" i="143"/>
  <c r="B88" i="86"/>
  <c r="B89" i="86" s="1"/>
  <c r="B90" i="86" s="1"/>
  <c r="B91" i="86" s="1"/>
  <c r="B92" i="86" s="1"/>
  <c r="B117" i="143"/>
  <c r="F117" i="143"/>
  <c r="H149" i="215" l="1"/>
  <c r="D150" i="215"/>
  <c r="E150" i="215" s="1"/>
  <c r="G149" i="215"/>
  <c r="E92" i="86"/>
  <c r="B94" i="86"/>
  <c r="B96" i="86" s="1"/>
  <c r="H117" i="143"/>
  <c r="D118" i="143"/>
  <c r="G117" i="143"/>
  <c r="F150" i="215" l="1"/>
  <c r="B150" i="215"/>
  <c r="I149" i="215"/>
  <c r="B98" i="86"/>
  <c r="B100" i="86" s="1"/>
  <c r="B101" i="86" s="1"/>
  <c r="B102" i="86" s="1"/>
  <c r="B103" i="86" s="1"/>
  <c r="B104" i="86" s="1"/>
  <c r="B105" i="86" s="1"/>
  <c r="B106" i="86" s="1"/>
  <c r="B107" i="86" s="1"/>
  <c r="B108" i="86" s="1"/>
  <c r="B109" i="86" s="1"/>
  <c r="I117" i="143"/>
  <c r="B118" i="143"/>
  <c r="E118" i="143"/>
  <c r="F118" i="143" s="1"/>
  <c r="G150" i="215" l="1"/>
  <c r="D151" i="215"/>
  <c r="E151" i="215" s="1"/>
  <c r="H150" i="215"/>
  <c r="B111" i="86"/>
  <c r="B113" i="86" s="1"/>
  <c r="C23" i="143" s="1"/>
  <c r="Q20" i="143" s="1"/>
  <c r="E109" i="86"/>
  <c r="H118" i="143"/>
  <c r="G118" i="143"/>
  <c r="D119" i="143"/>
  <c r="E119" i="143" s="1"/>
  <c r="I150" i="215" l="1"/>
  <c r="C23" i="129"/>
  <c r="S21" i="129" s="1"/>
  <c r="B151" i="215"/>
  <c r="F151" i="215"/>
  <c r="B128" i="86"/>
  <c r="D113" i="86"/>
  <c r="B119" i="143"/>
  <c r="F119" i="143"/>
  <c r="I118" i="143"/>
  <c r="H151" i="215" l="1"/>
  <c r="G151" i="215"/>
  <c r="D152" i="215"/>
  <c r="E152" i="215" s="1"/>
  <c r="B129" i="86"/>
  <c r="B130" i="86" s="1"/>
  <c r="B131" i="86" s="1"/>
  <c r="B132" i="86" s="1"/>
  <c r="B133" i="86" s="1"/>
  <c r="B134" i="86" s="1"/>
  <c r="E101" i="86" s="1"/>
  <c r="H119" i="143"/>
  <c r="D120" i="143"/>
  <c r="E120" i="143" s="1"/>
  <c r="G119" i="143"/>
  <c r="D278" i="86" l="1"/>
  <c r="D15" i="149"/>
  <c r="F152" i="215"/>
  <c r="B152" i="215"/>
  <c r="I151" i="215"/>
  <c r="E134" i="86"/>
  <c r="B120" i="143"/>
  <c r="F120" i="143"/>
  <c r="I119" i="143"/>
  <c r="D153" i="215" l="1"/>
  <c r="E153" i="215" s="1"/>
  <c r="G152" i="215"/>
  <c r="H152" i="215"/>
  <c r="D272" i="86"/>
  <c r="B136" i="86"/>
  <c r="G120" i="143"/>
  <c r="D121" i="143"/>
  <c r="E121" i="143" s="1"/>
  <c r="H120" i="143"/>
  <c r="I152" i="215" l="1"/>
  <c r="B153" i="215"/>
  <c r="F153" i="215"/>
  <c r="I120" i="143"/>
  <c r="B137" i="86"/>
  <c r="F121" i="143"/>
  <c r="B121" i="143"/>
  <c r="H153" i="215" l="1"/>
  <c r="G153" i="215"/>
  <c r="D154" i="215"/>
  <c r="E154" i="215" s="1"/>
  <c r="B138" i="86"/>
  <c r="B139" i="86" s="1"/>
  <c r="B140" i="86" s="1"/>
  <c r="B141" i="86" s="1"/>
  <c r="B142" i="86" s="1"/>
  <c r="E143" i="86"/>
  <c r="D122" i="143"/>
  <c r="G121" i="143"/>
  <c r="H121" i="143"/>
  <c r="I121" i="143" l="1"/>
  <c r="F154" i="215"/>
  <c r="B154" i="215"/>
  <c r="I153" i="215"/>
  <c r="E142" i="86"/>
  <c r="B122" i="143"/>
  <c r="B143" i="86"/>
  <c r="B144" i="86" s="1"/>
  <c r="B145" i="86" s="1"/>
  <c r="B146" i="86" s="1"/>
  <c r="B147" i="86" s="1"/>
  <c r="B148" i="86" s="1"/>
  <c r="E122" i="143"/>
  <c r="F122" i="143" s="1"/>
  <c r="H154" i="215" l="1"/>
  <c r="D155" i="215"/>
  <c r="E155" i="215" s="1"/>
  <c r="G154" i="215"/>
  <c r="E148" i="86"/>
  <c r="D123" i="143"/>
  <c r="E123" i="143" s="1"/>
  <c r="H122" i="143"/>
  <c r="G122" i="143"/>
  <c r="B150" i="86"/>
  <c r="E150" i="86"/>
  <c r="F155" i="215" l="1"/>
  <c r="B155" i="215"/>
  <c r="I154" i="215"/>
  <c r="I122" i="143"/>
  <c r="B152" i="86"/>
  <c r="B153" i="86" s="1"/>
  <c r="F123" i="143"/>
  <c r="B123" i="143"/>
  <c r="D156" i="215" l="1"/>
  <c r="E156" i="215" s="1"/>
  <c r="H155" i="215"/>
  <c r="G155" i="215"/>
  <c r="C55" i="129"/>
  <c r="C82" i="143"/>
  <c r="C82" i="129"/>
  <c r="C55" i="143"/>
  <c r="E30" i="86"/>
  <c r="B154" i="86"/>
  <c r="D124" i="143"/>
  <c r="H123" i="143"/>
  <c r="G123" i="143"/>
  <c r="I155" i="215" l="1"/>
  <c r="B156" i="215"/>
  <c r="F156" i="215"/>
  <c r="I123" i="143"/>
  <c r="S35" i="129"/>
  <c r="Q34" i="143"/>
  <c r="B155" i="86"/>
  <c r="Q29" i="143"/>
  <c r="S30" i="129"/>
  <c r="B124" i="143"/>
  <c r="E124" i="143"/>
  <c r="F124" i="143" s="1"/>
  <c r="D157" i="215" l="1"/>
  <c r="E157" i="215" s="1"/>
  <c r="G156" i="215"/>
  <c r="H156" i="215"/>
  <c r="B156" i="86"/>
  <c r="B158" i="86" s="1"/>
  <c r="B159" i="86" s="1"/>
  <c r="B160" i="86" s="1"/>
  <c r="E156" i="86"/>
  <c r="D125" i="143"/>
  <c r="E125" i="143" s="1"/>
  <c r="H124" i="143"/>
  <c r="G124" i="143"/>
  <c r="I156" i="215" l="1"/>
  <c r="F157" i="215"/>
  <c r="B157" i="215"/>
  <c r="I124" i="143"/>
  <c r="B161" i="86"/>
  <c r="B162" i="86" s="1"/>
  <c r="B163" i="86" s="1"/>
  <c r="B164" i="86" s="1"/>
  <c r="B165" i="86" s="1"/>
  <c r="B125" i="143"/>
  <c r="F125" i="143"/>
  <c r="H157" i="215" l="1"/>
  <c r="D158" i="215"/>
  <c r="E158" i="215" s="1"/>
  <c r="G157" i="215"/>
  <c r="E165" i="86"/>
  <c r="B167" i="86"/>
  <c r="B168" i="86" s="1"/>
  <c r="H125" i="143"/>
  <c r="D126" i="143"/>
  <c r="E126" i="143" s="1"/>
  <c r="G125" i="143"/>
  <c r="I157" i="215" l="1"/>
  <c r="F158" i="215"/>
  <c r="B158" i="215"/>
  <c r="I125" i="143"/>
  <c r="F126" i="143"/>
  <c r="B126" i="143"/>
  <c r="C30" i="129"/>
  <c r="S22" i="129" s="1"/>
  <c r="C30" i="143"/>
  <c r="Q21" i="143" s="1"/>
  <c r="D298" i="86"/>
  <c r="D172" i="86"/>
  <c r="B169" i="86"/>
  <c r="G158" i="215" l="1"/>
  <c r="D159" i="215"/>
  <c r="E159" i="215" s="1"/>
  <c r="E160" i="215" s="1"/>
  <c r="H158" i="215"/>
  <c r="B170" i="86"/>
  <c r="B171" i="86" s="1"/>
  <c r="B172" i="86" s="1"/>
  <c r="H126" i="143"/>
  <c r="D127" i="143"/>
  <c r="E127" i="143" s="1"/>
  <c r="G126" i="143"/>
  <c r="I158" i="215" l="1"/>
  <c r="I126" i="143"/>
  <c r="B159" i="215"/>
  <c r="F159" i="215"/>
  <c r="F127" i="143"/>
  <c r="B127" i="143"/>
  <c r="B173" i="86"/>
  <c r="B174" i="86" s="1"/>
  <c r="B175" i="86" s="1"/>
  <c r="B177" i="86" s="1"/>
  <c r="E180" i="86" l="1"/>
  <c r="H159" i="215"/>
  <c r="G159" i="215"/>
  <c r="E179" i="86"/>
  <c r="H127" i="143"/>
  <c r="D128" i="143"/>
  <c r="G127" i="143"/>
  <c r="B178" i="86"/>
  <c r="E178" i="86"/>
  <c r="I159" i="215" l="1"/>
  <c r="B128" i="143"/>
  <c r="I127" i="143"/>
  <c r="C33" i="129"/>
  <c r="S23" i="129" s="1"/>
  <c r="C33" i="143"/>
  <c r="Q22" i="143" s="1"/>
  <c r="B179" i="86"/>
  <c r="E128" i="143"/>
  <c r="F128" i="143" s="1"/>
  <c r="D129" i="143" l="1"/>
  <c r="G128" i="143"/>
  <c r="H128" i="143"/>
  <c r="C34" i="143"/>
  <c r="Q23" i="143" s="1"/>
  <c r="C34" i="129"/>
  <c r="S24" i="129" s="1"/>
  <c r="B180" i="86"/>
  <c r="C35" i="143" l="1"/>
  <c r="Q24" i="143" s="1"/>
  <c r="B182" i="86"/>
  <c r="C35" i="129"/>
  <c r="S25" i="129" s="1"/>
  <c r="E182" i="86"/>
  <c r="I128" i="143"/>
  <c r="B129" i="143"/>
  <c r="E129" i="143"/>
  <c r="F129" i="143" s="1"/>
  <c r="G129" i="143" l="1"/>
  <c r="D130" i="143"/>
  <c r="H129" i="143"/>
  <c r="C44" i="129"/>
  <c r="S28" i="129" s="1"/>
  <c r="B184" i="86"/>
  <c r="E33" i="86" s="1"/>
  <c r="C44" i="143"/>
  <c r="Q27" i="143" s="1"/>
  <c r="I129" i="143" l="1"/>
  <c r="B130" i="143"/>
  <c r="C43" i="143"/>
  <c r="Q26" i="143" s="1"/>
  <c r="C43" i="129"/>
  <c r="S27" i="129" s="1"/>
  <c r="B186" i="86"/>
  <c r="E177" i="86"/>
  <c r="E130" i="143"/>
  <c r="F130" i="143" s="1"/>
  <c r="D131" i="143" l="1"/>
  <c r="E131" i="143" s="1"/>
  <c r="G130" i="143"/>
  <c r="H130" i="143"/>
  <c r="B188" i="86"/>
  <c r="D276" i="86"/>
  <c r="D189" i="86"/>
  <c r="I130" i="143" l="1"/>
  <c r="B189" i="86"/>
  <c r="B191" i="86" s="1"/>
  <c r="F131" i="143"/>
  <c r="B131" i="143"/>
  <c r="C45" i="143" l="1"/>
  <c r="Q28" i="143" s="1"/>
  <c r="C45" i="129"/>
  <c r="S29" i="129" s="1"/>
  <c r="B38" i="94"/>
  <c r="B193" i="86"/>
  <c r="E193" i="86"/>
  <c r="H131" i="143"/>
  <c r="G131" i="143"/>
  <c r="D132" i="143"/>
  <c r="E132" i="143" s="1"/>
  <c r="I131" i="143" l="1"/>
  <c r="F132" i="143"/>
  <c r="B132" i="143"/>
  <c r="C42" i="143"/>
  <c r="Q25" i="143" s="1"/>
  <c r="E12" i="86"/>
  <c r="B206" i="86"/>
  <c r="C42" i="129"/>
  <c r="S26" i="129" s="1"/>
  <c r="B207" i="86" l="1"/>
  <c r="B208" i="86" s="1"/>
  <c r="B209" i="86" s="1"/>
  <c r="E56" i="86" s="1"/>
  <c r="G132" i="143"/>
  <c r="H132" i="143"/>
  <c r="D133" i="143"/>
  <c r="E209" i="86" l="1"/>
  <c r="B133" i="143"/>
  <c r="I132" i="143"/>
  <c r="E133" i="143"/>
  <c r="F133" i="143" s="1"/>
  <c r="E211" i="86"/>
  <c r="B211" i="86"/>
  <c r="B213" i="86" s="1"/>
  <c r="B214" i="86" s="1"/>
  <c r="B215" i="86" s="1"/>
  <c r="B216" i="86" s="1"/>
  <c r="G133" i="143" l="1"/>
  <c r="D134" i="143"/>
  <c r="E134" i="143" s="1"/>
  <c r="H133" i="143"/>
  <c r="I133" i="143" l="1"/>
  <c r="B217" i="86"/>
  <c r="B218" i="86" s="1"/>
  <c r="B219" i="86" s="1"/>
  <c r="B221" i="86" s="1"/>
  <c r="B224" i="86" s="1"/>
  <c r="B225" i="86" s="1"/>
  <c r="F134" i="143"/>
  <c r="B134" i="143"/>
  <c r="B226" i="86" l="1"/>
  <c r="B227" i="86" s="1"/>
  <c r="B228" i="86" s="1"/>
  <c r="B229" i="86" s="1"/>
  <c r="B230" i="86" s="1"/>
  <c r="B231" i="86" s="1"/>
  <c r="B232" i="86" s="1"/>
  <c r="D237" i="86" s="1"/>
  <c r="E219" i="86"/>
  <c r="D135" i="143"/>
  <c r="E135" i="143" s="1"/>
  <c r="G134" i="143"/>
  <c r="H134" i="143"/>
  <c r="I134" i="143" l="1"/>
  <c r="E232" i="86"/>
  <c r="B135" i="143"/>
  <c r="F135" i="143"/>
  <c r="B234" i="86"/>
  <c r="B235" i="86" s="1"/>
  <c r="D136" i="143" l="1"/>
  <c r="H135" i="143"/>
  <c r="G135" i="143"/>
  <c r="B236" i="86"/>
  <c r="D314" i="86" s="1"/>
  <c r="D229" i="86" l="1"/>
  <c r="B237" i="86"/>
  <c r="I135" i="143"/>
  <c r="B136" i="143"/>
  <c r="E136" i="143"/>
  <c r="F136" i="143" s="1"/>
  <c r="H136" i="143" l="1"/>
  <c r="G136" i="143"/>
  <c r="D137" i="143"/>
  <c r="E137" i="143" s="1"/>
  <c r="B238" i="86"/>
  <c r="C11" i="143"/>
  <c r="Q13" i="143" s="1"/>
  <c r="C11" i="129"/>
  <c r="S14" i="129" s="1"/>
  <c r="C14" i="129"/>
  <c r="D238" i="86"/>
  <c r="C14" i="143"/>
  <c r="B79" i="203" l="1"/>
  <c r="F137" i="143"/>
  <c r="B137" i="143"/>
  <c r="E184" i="86"/>
  <c r="D170" i="86"/>
  <c r="I136" i="143"/>
  <c r="G137" i="143" l="1"/>
  <c r="H137" i="143"/>
  <c r="D138" i="143"/>
  <c r="E138" i="143" s="1"/>
  <c r="I137" i="143" l="1"/>
  <c r="F138" i="143"/>
  <c r="B138" i="143"/>
  <c r="H138" i="143" l="1"/>
  <c r="G138" i="143"/>
  <c r="D139" i="143"/>
  <c r="E139" i="143" s="1"/>
  <c r="F139" i="143" l="1"/>
  <c r="B139" i="143"/>
  <c r="I138" i="143"/>
  <c r="H139" i="143" l="1"/>
  <c r="G139" i="143"/>
  <c r="D140" i="143"/>
  <c r="E140" i="143" s="1"/>
  <c r="F140" i="143" l="1"/>
  <c r="B140" i="143"/>
  <c r="I139" i="143"/>
  <c r="D141" i="143" l="1"/>
  <c r="E141" i="143" s="1"/>
  <c r="H140" i="143"/>
  <c r="G140" i="143"/>
  <c r="I140" i="143" l="1"/>
  <c r="B141" i="143"/>
  <c r="F141" i="143"/>
  <c r="H141" i="143" l="1"/>
  <c r="G141" i="143"/>
  <c r="D142" i="143"/>
  <c r="B142" i="143" l="1"/>
  <c r="I141" i="143"/>
  <c r="E142" i="143"/>
  <c r="F142" i="143" s="1"/>
  <c r="D143" i="143" l="1"/>
  <c r="E143" i="143" s="1"/>
  <c r="H142" i="143"/>
  <c r="G142" i="143"/>
  <c r="I142" i="143" l="1"/>
  <c r="B143" i="143"/>
  <c r="F143" i="143"/>
  <c r="H143" i="143" l="1"/>
  <c r="G143" i="143"/>
  <c r="D144" i="143"/>
  <c r="E144" i="143" s="1"/>
  <c r="F144" i="143" l="1"/>
  <c r="B144" i="143"/>
  <c r="I143" i="143"/>
  <c r="H144" i="143" l="1"/>
  <c r="D145" i="143"/>
  <c r="E145" i="143" s="1"/>
  <c r="G144" i="143"/>
  <c r="F145" i="143" l="1"/>
  <c r="B145" i="143"/>
  <c r="I144" i="143"/>
  <c r="G145" i="143" l="1"/>
  <c r="H145" i="143"/>
  <c r="D146" i="143"/>
  <c r="E146" i="143" s="1"/>
  <c r="I145" i="143" l="1"/>
  <c r="F146" i="143"/>
  <c r="B146" i="143"/>
  <c r="D147" i="143" l="1"/>
  <c r="E147" i="143" s="1"/>
  <c r="H146" i="143"/>
  <c r="G146" i="143"/>
  <c r="I146" i="143" l="1"/>
  <c r="B147" i="143"/>
  <c r="F147" i="143"/>
  <c r="G147" i="143" l="1"/>
  <c r="H147" i="143"/>
  <c r="D148" i="143"/>
  <c r="E148" i="143" s="1"/>
  <c r="I147" i="143" l="1"/>
  <c r="F148" i="143"/>
  <c r="B148" i="143"/>
  <c r="D149" i="143" l="1"/>
  <c r="E149" i="143" s="1"/>
  <c r="G148" i="143"/>
  <c r="H148" i="143"/>
  <c r="I148" i="143" l="1"/>
  <c r="B149" i="143"/>
  <c r="F149" i="143"/>
  <c r="G149" i="143" l="1"/>
  <c r="H149" i="143"/>
  <c r="D150" i="143"/>
  <c r="I149" i="143" l="1"/>
  <c r="B150" i="143"/>
  <c r="E150" i="143"/>
  <c r="F150" i="143" s="1"/>
  <c r="D151" i="143" l="1"/>
  <c r="E151" i="143" s="1"/>
  <c r="H150" i="143"/>
  <c r="G150" i="143"/>
  <c r="I150" i="143" l="1"/>
  <c r="F151" i="143"/>
  <c r="B151" i="143"/>
  <c r="G151" i="143" l="1"/>
  <c r="H151" i="143"/>
  <c r="D152" i="143"/>
  <c r="I151" i="143" l="1"/>
  <c r="B152" i="143"/>
  <c r="E152" i="143"/>
  <c r="F152" i="143" s="1"/>
  <c r="H152" i="143" l="1"/>
  <c r="G152" i="143"/>
  <c r="D153" i="143"/>
  <c r="B153" i="143" l="1"/>
  <c r="E153" i="143"/>
  <c r="F153" i="143" s="1"/>
  <c r="I152" i="143"/>
  <c r="G153" i="143" l="1"/>
  <c r="D154" i="143"/>
  <c r="E154" i="143" s="1"/>
  <c r="H153" i="143"/>
  <c r="I153" i="143" l="1"/>
  <c r="F154" i="143"/>
  <c r="B154" i="143"/>
  <c r="D155" i="143" l="1"/>
  <c r="E155" i="143" s="1"/>
  <c r="H154" i="143"/>
  <c r="G154" i="143"/>
  <c r="I154" i="143" l="1"/>
  <c r="B155" i="143"/>
  <c r="F155" i="143"/>
  <c r="H155" i="143" l="1"/>
  <c r="G155" i="143"/>
  <c r="D156" i="143"/>
  <c r="B156" i="143" l="1"/>
  <c r="E156" i="143"/>
  <c r="F156" i="143" s="1"/>
  <c r="I155" i="143"/>
  <c r="D157" i="143" l="1"/>
  <c r="E157" i="143" s="1"/>
  <c r="G156" i="143"/>
  <c r="H156" i="143"/>
  <c r="I156" i="143" l="1"/>
  <c r="B157" i="143"/>
  <c r="F157" i="143"/>
  <c r="G157" i="143" l="1"/>
  <c r="D158" i="143"/>
  <c r="E158" i="143" s="1"/>
  <c r="H157" i="143"/>
  <c r="I157" i="143" l="1"/>
  <c r="F158" i="143"/>
  <c r="B158" i="143"/>
  <c r="D159" i="143" l="1"/>
  <c r="H158" i="143"/>
  <c r="G158" i="143"/>
  <c r="B159" i="143" l="1"/>
  <c r="I158" i="143"/>
  <c r="E159" i="143"/>
  <c r="E160" i="143" s="1"/>
  <c r="F159" i="143" l="1"/>
  <c r="G159" i="143" s="1"/>
  <c r="H159" i="143" l="1"/>
  <c r="I159" i="143" s="1"/>
  <c r="G144" i="86"/>
  <c r="G30" i="193" l="1"/>
  <c r="D45" i="193" l="1"/>
  <c r="D28" i="193"/>
  <c r="D44" i="89" l="1"/>
  <c r="D47" i="89" s="1"/>
  <c r="D48" i="89" s="1"/>
  <c r="H148" i="139"/>
  <c r="D32" i="89" s="1"/>
  <c r="D35" i="89" s="1"/>
  <c r="D36" i="89" s="1"/>
  <c r="G89" i="86" s="1"/>
  <c r="H11" i="145"/>
  <c r="H13" i="145" s="1"/>
  <c r="H14" i="145" s="1"/>
  <c r="D22" i="89"/>
  <c r="D23" i="89" s="1"/>
  <c r="C19" i="145" l="1"/>
  <c r="C27" i="145"/>
  <c r="H27" i="145" s="1"/>
  <c r="C23" i="145"/>
  <c r="H23" i="145" s="1"/>
  <c r="C28" i="145"/>
  <c r="H28" i="145" s="1"/>
  <c r="C30" i="145"/>
  <c r="H30" i="145" s="1"/>
  <c r="C22" i="145"/>
  <c r="H22" i="145" s="1"/>
  <c r="C20" i="145"/>
  <c r="H20" i="145" s="1"/>
  <c r="C21" i="145"/>
  <c r="H21" i="145" s="1"/>
  <c r="C29" i="145"/>
  <c r="H29" i="145" s="1"/>
  <c r="C26" i="145"/>
  <c r="H26" i="145" s="1"/>
  <c r="C24" i="145"/>
  <c r="H24" i="145" s="1"/>
  <c r="C25" i="145"/>
  <c r="H25" i="145" s="1"/>
  <c r="D25" i="89"/>
  <c r="G88" i="86"/>
  <c r="G90" i="86"/>
  <c r="D50" i="89"/>
  <c r="H19" i="145" l="1"/>
  <c r="I19" i="145" s="1"/>
  <c r="I20" i="145" s="1"/>
  <c r="I21" i="145" s="1"/>
  <c r="I22" i="145" s="1"/>
  <c r="I23" i="145" s="1"/>
  <c r="I24" i="145" s="1"/>
  <c r="I25" i="145" s="1"/>
  <c r="I26" i="145" s="1"/>
  <c r="I27" i="145" s="1"/>
  <c r="I28" i="145" s="1"/>
  <c r="I29" i="145" s="1"/>
  <c r="I30" i="145" s="1"/>
  <c r="I32" i="145" s="1"/>
  <c r="D19" i="145"/>
  <c r="D20" i="145" s="1"/>
  <c r="D21" i="145" s="1"/>
  <c r="D22" i="145" s="1"/>
  <c r="D23" i="145" s="1"/>
  <c r="D24" i="145" s="1"/>
  <c r="D25" i="145" s="1"/>
  <c r="D26" i="145" s="1"/>
  <c r="D27" i="145" s="1"/>
  <c r="D28" i="145" s="1"/>
  <c r="D29" i="145" s="1"/>
  <c r="D30" i="145" s="1"/>
  <c r="D32" i="145" s="1"/>
  <c r="G92" i="86"/>
  <c r="G113" i="86" s="1"/>
  <c r="I34" i="145" l="1"/>
  <c r="G24" i="89" s="1"/>
  <c r="L20" i="129" l="1"/>
  <c r="L92" i="129" l="1"/>
  <c r="J98" i="129"/>
  <c r="F11" i="178" l="1"/>
  <c r="F11" i="223" l="1"/>
  <c r="P63" i="178"/>
  <c r="D19" i="178"/>
  <c r="P63" i="223" l="1"/>
  <c r="D19" i="223"/>
  <c r="R19" i="178"/>
  <c r="D20" i="178"/>
  <c r="F20" i="178"/>
  <c r="J20" i="178" s="1"/>
  <c r="N20" i="178" s="1"/>
  <c r="R20" i="178" l="1"/>
  <c r="F20" i="223"/>
  <c r="J20" i="223" s="1"/>
  <c r="N20" i="223" s="1"/>
  <c r="R19" i="223"/>
  <c r="D20" i="223"/>
  <c r="F21" i="178"/>
  <c r="J21" i="178" s="1"/>
  <c r="N21" i="178" s="1"/>
  <c r="H22" i="178" s="1"/>
  <c r="D21" i="178"/>
  <c r="R21" i="178" l="1"/>
  <c r="H23" i="178"/>
  <c r="H24" i="178"/>
  <c r="R20" i="223"/>
  <c r="F22" i="178"/>
  <c r="J22" i="178" s="1"/>
  <c r="N22" i="178" s="1"/>
  <c r="D22" i="178"/>
  <c r="F21" i="223"/>
  <c r="J21" i="223" s="1"/>
  <c r="N21" i="223" s="1"/>
  <c r="H24" i="223" s="1"/>
  <c r="D21" i="223"/>
  <c r="F22" i="223" l="1"/>
  <c r="D22" i="223"/>
  <c r="F23" i="178"/>
  <c r="J23" i="178" s="1"/>
  <c r="N23" i="178" s="1"/>
  <c r="D23" i="178"/>
  <c r="H22" i="223"/>
  <c r="H23" i="223"/>
  <c r="R21" i="223"/>
  <c r="R22" i="178"/>
  <c r="J22" i="223" l="1"/>
  <c r="N22" i="223" s="1"/>
  <c r="R22" i="223" s="1"/>
  <c r="F24" i="178"/>
  <c r="J24" i="178" s="1"/>
  <c r="N24" i="178" s="1"/>
  <c r="H27" i="178" s="1"/>
  <c r="D24" i="178"/>
  <c r="R23" i="178"/>
  <c r="F23" i="223"/>
  <c r="J23" i="223" s="1"/>
  <c r="N23" i="223" s="1"/>
  <c r="D23" i="223"/>
  <c r="H26" i="178" l="1"/>
  <c r="H25" i="178"/>
  <c r="F25" i="178"/>
  <c r="D25" i="178"/>
  <c r="F24" i="223"/>
  <c r="J24" i="223" s="1"/>
  <c r="N24" i="223" s="1"/>
  <c r="H27" i="223" s="1"/>
  <c r="D24" i="223"/>
  <c r="R23" i="223"/>
  <c r="R24" i="178"/>
  <c r="J25" i="178" l="1"/>
  <c r="N25" i="178" s="1"/>
  <c r="R25" i="178" s="1"/>
  <c r="H26" i="223"/>
  <c r="H25" i="223"/>
  <c r="R24" i="223"/>
  <c r="F25" i="223"/>
  <c r="D25" i="223"/>
  <c r="F26" i="178"/>
  <c r="J26" i="178" s="1"/>
  <c r="N26" i="178" s="1"/>
  <c r="D26" i="178"/>
  <c r="R26" i="178" l="1"/>
  <c r="J25" i="223"/>
  <c r="N25" i="223" s="1"/>
  <c r="R25" i="223" s="1"/>
  <c r="F27" i="178"/>
  <c r="J27" i="178" s="1"/>
  <c r="N27" i="178" s="1"/>
  <c r="D27" i="178"/>
  <c r="F26" i="223"/>
  <c r="J26" i="223" s="1"/>
  <c r="N26" i="223" s="1"/>
  <c r="D26" i="223"/>
  <c r="R26" i="223" l="1"/>
  <c r="F27" i="223"/>
  <c r="J27" i="223" s="1"/>
  <c r="N27" i="223" s="1"/>
  <c r="H30" i="223" s="1"/>
  <c r="D27" i="223"/>
  <c r="F28" i="178"/>
  <c r="D28" i="178"/>
  <c r="R27" i="178"/>
  <c r="H28" i="178"/>
  <c r="H29" i="178"/>
  <c r="H30" i="178"/>
  <c r="H28" i="223" l="1"/>
  <c r="H29" i="223"/>
  <c r="J28" i="178"/>
  <c r="N28" i="178" s="1"/>
  <c r="R28" i="178" s="1"/>
  <c r="F28" i="223"/>
  <c r="D28" i="223"/>
  <c r="R27" i="223"/>
  <c r="F29" i="178"/>
  <c r="J29" i="178" s="1"/>
  <c r="N29" i="178" s="1"/>
  <c r="D29" i="178"/>
  <c r="J28" i="223" l="1"/>
  <c r="N28" i="223" s="1"/>
  <c r="R28" i="223" s="1"/>
  <c r="F30" i="178"/>
  <c r="J30" i="178" s="1"/>
  <c r="N30" i="178" s="1"/>
  <c r="D30" i="178"/>
  <c r="R29" i="178"/>
  <c r="F29" i="223"/>
  <c r="J29" i="223" s="1"/>
  <c r="N29" i="223" s="1"/>
  <c r="D29" i="223"/>
  <c r="F30" i="223" l="1"/>
  <c r="J30" i="223" s="1"/>
  <c r="N30" i="223" s="1"/>
  <c r="H34" i="223" s="1"/>
  <c r="D30" i="223"/>
  <c r="R29" i="223"/>
  <c r="H35" i="178"/>
  <c r="H33" i="178"/>
  <c r="F33" i="178"/>
  <c r="R30" i="178"/>
  <c r="H34" i="178"/>
  <c r="H35" i="223" l="1"/>
  <c r="H33" i="223"/>
  <c r="J33" i="178"/>
  <c r="N33" i="178" s="1"/>
  <c r="F34" i="178"/>
  <c r="F33" i="223"/>
  <c r="R30" i="223"/>
  <c r="R33" i="178" l="1"/>
  <c r="J33" i="223"/>
  <c r="N33" i="223" s="1"/>
  <c r="F34" i="223"/>
  <c r="J34" i="178"/>
  <c r="N34" i="178" s="1"/>
  <c r="F35" i="178"/>
  <c r="J34" i="223" l="1"/>
  <c r="N34" i="223" s="1"/>
  <c r="R34" i="223" s="1"/>
  <c r="F35" i="223"/>
  <c r="J35" i="178"/>
  <c r="N35" i="178" s="1"/>
  <c r="F36" i="178"/>
  <c r="R34" i="178"/>
  <c r="R33" i="223"/>
  <c r="J35" i="223" l="1"/>
  <c r="N35" i="223" s="1"/>
  <c r="F36" i="223"/>
  <c r="F37" i="178"/>
  <c r="H37" i="178"/>
  <c r="R35" i="178"/>
  <c r="H38" i="178"/>
  <c r="H36" i="178"/>
  <c r="J36" i="178" s="1"/>
  <c r="N36" i="178" s="1"/>
  <c r="R36" i="178" l="1"/>
  <c r="F37" i="223"/>
  <c r="J37" i="178"/>
  <c r="N37" i="178" s="1"/>
  <c r="F38" i="178"/>
  <c r="H38" i="223"/>
  <c r="H36" i="223"/>
  <c r="J36" i="223" s="1"/>
  <c r="N36" i="223" s="1"/>
  <c r="R35" i="223"/>
  <c r="H37" i="223"/>
  <c r="R36" i="223" l="1"/>
  <c r="J38" i="178"/>
  <c r="N38" i="178" s="1"/>
  <c r="H40" i="178" s="1"/>
  <c r="F39" i="178"/>
  <c r="J37" i="223"/>
  <c r="N37" i="223" s="1"/>
  <c r="F38" i="223"/>
  <c r="R37" i="178"/>
  <c r="H39" i="178" l="1"/>
  <c r="J39" i="178" s="1"/>
  <c r="N39" i="178" s="1"/>
  <c r="R39" i="178" s="1"/>
  <c r="J38" i="223"/>
  <c r="N38" i="223" s="1"/>
  <c r="H39" i="223" s="1"/>
  <c r="F39" i="223"/>
  <c r="R38" i="178"/>
  <c r="H41" i="178"/>
  <c r="F40" i="178"/>
  <c r="R37" i="223"/>
  <c r="R38" i="223" l="1"/>
  <c r="H41" i="223"/>
  <c r="H40" i="223"/>
  <c r="J39" i="223"/>
  <c r="N39" i="223" s="1"/>
  <c r="R39" i="223" s="1"/>
  <c r="F40" i="223"/>
  <c r="J40" i="178"/>
  <c r="N40" i="178" s="1"/>
  <c r="R40" i="178" s="1"/>
  <c r="F41" i="178"/>
  <c r="J40" i="223" l="1"/>
  <c r="N40" i="223" s="1"/>
  <c r="R40" i="223" s="1"/>
  <c r="F41" i="223"/>
  <c r="J41" i="178"/>
  <c r="N41" i="178" s="1"/>
  <c r="R41" i="178" s="1"/>
  <c r="F42" i="178"/>
  <c r="H43" i="178" l="1"/>
  <c r="J41" i="223"/>
  <c r="N41" i="223" s="1"/>
  <c r="F42" i="223"/>
  <c r="H42" i="178"/>
  <c r="J42" i="178" s="1"/>
  <c r="N42" i="178" s="1"/>
  <c r="R42" i="178" s="1"/>
  <c r="H44" i="178"/>
  <c r="F43" i="178"/>
  <c r="J43" i="178" l="1"/>
  <c r="N43" i="178" s="1"/>
  <c r="R43" i="178" s="1"/>
  <c r="F44" i="178"/>
  <c r="F43" i="223"/>
  <c r="R41" i="223"/>
  <c r="H42" i="223"/>
  <c r="J42" i="223" s="1"/>
  <c r="N42" i="223" s="1"/>
  <c r="R42" i="223" s="1"/>
  <c r="H44" i="223"/>
  <c r="H43" i="223"/>
  <c r="J44" i="178" l="1"/>
  <c r="N44" i="178" s="1"/>
  <c r="F48" i="178"/>
  <c r="J43" i="223"/>
  <c r="N43" i="223" s="1"/>
  <c r="R43" i="223" s="1"/>
  <c r="F44" i="223"/>
  <c r="F49" i="178" l="1"/>
  <c r="F50" i="178" s="1"/>
  <c r="F51" i="178" s="1"/>
  <c r="F52" i="178" s="1"/>
  <c r="F53" i="178" s="1"/>
  <c r="F54" i="178" s="1"/>
  <c r="F55" i="178" s="1"/>
  <c r="F56" i="178" s="1"/>
  <c r="F57" i="178" s="1"/>
  <c r="F58" i="178" s="1"/>
  <c r="F59" i="178" s="1"/>
  <c r="J44" i="223"/>
  <c r="N44" i="223" s="1"/>
  <c r="R44" i="223" s="1"/>
  <c r="F48" i="223"/>
  <c r="R44" i="178"/>
  <c r="H48" i="178"/>
  <c r="J48" i="178" s="1"/>
  <c r="N48" i="178" s="1"/>
  <c r="H49" i="178"/>
  <c r="H50" i="178"/>
  <c r="H48" i="223" l="1"/>
  <c r="J48" i="223" s="1"/>
  <c r="N48" i="223" s="1"/>
  <c r="P51" i="178"/>
  <c r="P50" i="178"/>
  <c r="P57" i="178"/>
  <c r="P49" i="178"/>
  <c r="P53" i="178"/>
  <c r="P54" i="178"/>
  <c r="P55" i="178"/>
  <c r="P56" i="178"/>
  <c r="P58" i="178"/>
  <c r="P52" i="178"/>
  <c r="P59" i="178"/>
  <c r="P48" i="178"/>
  <c r="F49" i="223"/>
  <c r="F50" i="223" s="1"/>
  <c r="F51" i="223" s="1"/>
  <c r="F52" i="223" s="1"/>
  <c r="F53" i="223" s="1"/>
  <c r="F54" i="223" s="1"/>
  <c r="F55" i="223" s="1"/>
  <c r="F56" i="223" s="1"/>
  <c r="F57" i="223" s="1"/>
  <c r="F58" i="223" s="1"/>
  <c r="F59" i="223" s="1"/>
  <c r="P49" i="223"/>
  <c r="P53" i="223"/>
  <c r="P55" i="223"/>
  <c r="P57" i="223"/>
  <c r="P59" i="223"/>
  <c r="P52" i="223"/>
  <c r="P51" i="223"/>
  <c r="P54" i="223"/>
  <c r="P56" i="223"/>
  <c r="P58" i="223"/>
  <c r="P50" i="223"/>
  <c r="P48" i="223"/>
  <c r="H49" i="223"/>
  <c r="H50" i="223"/>
  <c r="P62" i="223" l="1"/>
  <c r="P64" i="223" s="1"/>
  <c r="R48" i="223"/>
  <c r="J49" i="223" s="1"/>
  <c r="N49" i="223" s="1"/>
  <c r="R49" i="223" s="1"/>
  <c r="J50" i="223" s="1"/>
  <c r="N50" i="223" s="1"/>
  <c r="R50" i="223" s="1"/>
  <c r="J51" i="223" s="1"/>
  <c r="N51" i="223" s="1"/>
  <c r="R51" i="223" s="1"/>
  <c r="J52" i="223" s="1"/>
  <c r="N52" i="223" s="1"/>
  <c r="R52" i="223" s="1"/>
  <c r="J53" i="223" s="1"/>
  <c r="N53" i="223" s="1"/>
  <c r="R53" i="223" s="1"/>
  <c r="J54" i="223" s="1"/>
  <c r="N54" i="223" s="1"/>
  <c r="R54" i="223" s="1"/>
  <c r="J55" i="223" s="1"/>
  <c r="N55" i="223" s="1"/>
  <c r="R55" i="223" s="1"/>
  <c r="J56" i="223" s="1"/>
  <c r="N56" i="223" s="1"/>
  <c r="R56" i="223" s="1"/>
  <c r="J57" i="223" s="1"/>
  <c r="N57" i="223" s="1"/>
  <c r="R57" i="223" s="1"/>
  <c r="J58" i="223" s="1"/>
  <c r="N58" i="223" s="1"/>
  <c r="R58" i="223" s="1"/>
  <c r="J59" i="223" s="1"/>
  <c r="N59" i="223" s="1"/>
  <c r="R59" i="223" s="1"/>
  <c r="P62" i="178"/>
  <c r="P64" i="178" s="1"/>
  <c r="R48" i="178"/>
  <c r="J49" i="178" s="1"/>
  <c r="N49" i="178" s="1"/>
  <c r="Q95" i="231" l="1"/>
  <c r="Q54" i="232"/>
  <c r="H51" i="223"/>
  <c r="R49" i="178"/>
  <c r="J50" i="178" s="1"/>
  <c r="N50" i="178" s="1"/>
  <c r="R50" i="178" s="1"/>
  <c r="J51" i="178" s="1"/>
  <c r="N51" i="178" s="1"/>
  <c r="R51" i="178" s="1"/>
  <c r="J52" i="178" s="1"/>
  <c r="N52" i="178" s="1"/>
  <c r="R52" i="178" s="1"/>
  <c r="J53" i="178" s="1"/>
  <c r="N53" i="178" s="1"/>
  <c r="R53" i="178" s="1"/>
  <c r="J54" i="178" s="1"/>
  <c r="N54" i="178" s="1"/>
  <c r="R54" i="178" s="1"/>
  <c r="J55" i="178" s="1"/>
  <c r="N55" i="178" s="1"/>
  <c r="R55" i="178" s="1"/>
  <c r="J56" i="178" s="1"/>
  <c r="N56" i="178" s="1"/>
  <c r="R56" i="178" s="1"/>
  <c r="J57" i="178" s="1"/>
  <c r="N57" i="178" s="1"/>
  <c r="R57" i="178" s="1"/>
  <c r="J58" i="178" s="1"/>
  <c r="N58" i="178" s="1"/>
  <c r="R58" i="178" s="1"/>
  <c r="J59" i="178" s="1"/>
  <c r="N59" i="178" s="1"/>
  <c r="R59" i="178" s="1"/>
  <c r="H53" i="223"/>
  <c r="H52" i="223"/>
  <c r="H53" i="178" l="1"/>
  <c r="H54" i="178" s="1"/>
  <c r="H51" i="178"/>
  <c r="H52" i="178"/>
  <c r="H54" i="223"/>
  <c r="H55" i="223"/>
  <c r="H56" i="223"/>
  <c r="H56" i="178" l="1"/>
  <c r="H57" i="178" s="1"/>
  <c r="H55" i="178"/>
  <c r="H58" i="223"/>
  <c r="H57" i="223"/>
  <c r="H59" i="223"/>
  <c r="H59" i="178" l="1"/>
  <c r="H58" i="178"/>
  <c r="G179" i="86"/>
  <c r="F71" i="39" l="1"/>
  <c r="G146" i="86" s="1"/>
  <c r="L146" i="86" l="1"/>
  <c r="G44" i="188" l="1"/>
  <c r="G46" i="188" s="1"/>
  <c r="L68" i="86" s="1"/>
  <c r="L207" i="86" l="1"/>
  <c r="L209" i="86" s="1"/>
  <c r="J68" i="86"/>
  <c r="J69" i="86" s="1"/>
  <c r="L69" i="86" s="1"/>
  <c r="L211" i="86" l="1"/>
  <c r="L56" i="86"/>
  <c r="J134" i="86" l="1"/>
  <c r="L134" i="86" s="1"/>
  <c r="L101" i="86" s="1"/>
  <c r="J144" i="86"/>
  <c r="L144" i="86" s="1"/>
  <c r="J215" i="86"/>
  <c r="L215" i="86" s="1"/>
  <c r="L219" i="86" s="1"/>
  <c r="L221" i="86" s="1"/>
  <c r="J57" i="86"/>
  <c r="L57" i="86" s="1"/>
  <c r="J153" i="86"/>
  <c r="L153" i="86" s="1"/>
  <c r="J102" i="86"/>
  <c r="L102" i="86" s="1"/>
  <c r="F55" i="143" l="1"/>
  <c r="P29" i="143" s="1"/>
  <c r="F55" i="129"/>
  <c r="R30" i="129" s="1"/>
  <c r="L79" i="86"/>
  <c r="J155" i="86"/>
  <c r="L155" i="86" s="1"/>
  <c r="J62" i="86"/>
  <c r="L62" i="86" s="1"/>
  <c r="J74" i="86"/>
  <c r="L74" i="86" s="1"/>
  <c r="J142" i="86"/>
  <c r="J72" i="86"/>
  <c r="L72" i="86" s="1"/>
  <c r="J98" i="86"/>
  <c r="L98" i="86" s="1"/>
  <c r="J154" i="86"/>
  <c r="L154" i="86" s="1"/>
  <c r="J160" i="86"/>
  <c r="L160" i="86" s="1"/>
  <c r="J147" i="86"/>
  <c r="L147" i="86" s="1"/>
  <c r="I26" i="89"/>
  <c r="J103" i="86"/>
  <c r="L103" i="86" s="1"/>
  <c r="J60" i="86"/>
  <c r="L60" i="86" s="1"/>
  <c r="J73" i="86"/>
  <c r="L73" i="86" s="1"/>
  <c r="J61" i="86"/>
  <c r="L61" i="86" s="1"/>
  <c r="J105" i="86"/>
  <c r="L105" i="86" s="1"/>
  <c r="L81" i="86" l="1"/>
  <c r="F71" i="129"/>
  <c r="R32" i="129" s="1"/>
  <c r="F71" i="143"/>
  <c r="P31" i="143" s="1"/>
  <c r="I37" i="89"/>
  <c r="L82" i="86"/>
  <c r="L75" i="86"/>
  <c r="L156" i="86"/>
  <c r="L63" i="86"/>
  <c r="J63" i="86" s="1"/>
  <c r="L83" i="86" l="1"/>
  <c r="J83" i="86" s="1"/>
  <c r="I51" i="89"/>
  <c r="J164" i="86"/>
  <c r="L164" i="86" s="1"/>
  <c r="J143" i="86"/>
  <c r="L143" i="86" s="1"/>
  <c r="J145" i="86"/>
  <c r="L145" i="86" s="1"/>
  <c r="J106" i="86"/>
  <c r="L106" i="86" s="1"/>
  <c r="J104" i="86"/>
  <c r="L104" i="86" s="1"/>
  <c r="J162" i="86"/>
  <c r="L162" i="86" s="1"/>
  <c r="J178" i="86"/>
  <c r="L178" i="86" s="1"/>
  <c r="G26" i="89"/>
  <c r="L165" i="86" l="1"/>
  <c r="F33" i="129"/>
  <c r="R23" i="129" s="1"/>
  <c r="F33" i="143"/>
  <c r="P22" i="143" s="1"/>
  <c r="G37" i="89"/>
  <c r="L109" i="86"/>
  <c r="G51" i="89" l="1"/>
  <c r="G63" i="89" l="1"/>
  <c r="G64" i="89" s="1"/>
  <c r="J64" i="89" s="1"/>
  <c r="L91" i="86" s="1"/>
  <c r="N179" i="90" l="1"/>
  <c r="K179" i="90"/>
  <c r="L179" i="90"/>
  <c r="J179" i="90"/>
  <c r="M179" i="90"/>
  <c r="L37" i="90"/>
  <c r="J37" i="90"/>
  <c r="M37" i="90"/>
  <c r="N37" i="90"/>
  <c r="K37" i="90"/>
  <c r="J62" i="90"/>
  <c r="L62" i="90"/>
  <c r="K62" i="90"/>
  <c r="N62" i="90"/>
  <c r="M62" i="90"/>
  <c r="J63" i="90"/>
  <c r="L63" i="90"/>
  <c r="M63" i="90"/>
  <c r="K63" i="90"/>
  <c r="N63" i="90"/>
  <c r="L43" i="90"/>
  <c r="M43" i="90"/>
  <c r="N43" i="90"/>
  <c r="J43" i="90"/>
  <c r="K43" i="90"/>
  <c r="M39" i="90"/>
  <c r="J39" i="90"/>
  <c r="K39" i="90"/>
  <c r="L39" i="90"/>
  <c r="N39" i="90"/>
  <c r="N64" i="90"/>
  <c r="L64" i="90"/>
  <c r="J64" i="90"/>
  <c r="K64" i="90"/>
  <c r="M64" i="90"/>
  <c r="J51" i="90"/>
  <c r="K51" i="90"/>
  <c r="M51" i="90"/>
  <c r="L51" i="90"/>
  <c r="N51" i="90"/>
  <c r="K67" i="90"/>
  <c r="J67" i="90"/>
  <c r="L67" i="90"/>
  <c r="M67" i="90"/>
  <c r="N67" i="90"/>
  <c r="J52" i="90"/>
  <c r="M52" i="90"/>
  <c r="N52" i="90"/>
  <c r="L52" i="90"/>
  <c r="K52" i="90"/>
  <c r="L58" i="90"/>
  <c r="J58" i="90"/>
  <c r="K58" i="90"/>
  <c r="M58" i="90"/>
  <c r="N58" i="90"/>
  <c r="J54" i="90"/>
  <c r="L54" i="90"/>
  <c r="M54" i="90"/>
  <c r="N54" i="90"/>
  <c r="K54" i="90"/>
  <c r="M203" i="90"/>
  <c r="L203" i="90"/>
  <c r="N203" i="90"/>
  <c r="K203" i="90"/>
  <c r="J203" i="90"/>
  <c r="J192" i="90"/>
  <c r="K192" i="90"/>
  <c r="N192" i="90"/>
  <c r="L192" i="90"/>
  <c r="M192" i="90"/>
  <c r="K230" i="90"/>
  <c r="J230" i="90"/>
  <c r="N230" i="90"/>
  <c r="M230" i="90"/>
  <c r="L230" i="90"/>
  <c r="L204" i="90"/>
  <c r="M204" i="90"/>
  <c r="N204" i="90"/>
  <c r="J204" i="90"/>
  <c r="K204" i="90"/>
  <c r="L189" i="90"/>
  <c r="J189" i="90"/>
  <c r="M189" i="90"/>
  <c r="K189" i="90"/>
  <c r="N189" i="90"/>
  <c r="N188" i="90"/>
  <c r="J188" i="90"/>
  <c r="K188" i="90"/>
  <c r="L188" i="90"/>
  <c r="M188" i="90"/>
  <c r="J184" i="90"/>
  <c r="N184" i="90"/>
  <c r="L184" i="90"/>
  <c r="M184" i="90"/>
  <c r="K184" i="90"/>
  <c r="M181" i="90"/>
  <c r="N181" i="90"/>
  <c r="L181" i="90"/>
  <c r="J181" i="90"/>
  <c r="K181" i="90"/>
  <c r="J185" i="90"/>
  <c r="K185" i="90"/>
  <c r="L185" i="90"/>
  <c r="M185" i="90"/>
  <c r="N185" i="90"/>
  <c r="K193" i="90"/>
  <c r="N193" i="90"/>
  <c r="L193" i="90"/>
  <c r="M193" i="90"/>
  <c r="J193" i="90"/>
  <c r="L59" i="90"/>
  <c r="J59" i="90"/>
  <c r="K59" i="90"/>
  <c r="M59" i="90"/>
  <c r="N59" i="90"/>
  <c r="J48" i="90"/>
  <c r="N48" i="90"/>
  <c r="K48" i="90"/>
  <c r="M48" i="90"/>
  <c r="L48" i="90"/>
  <c r="J49" i="90"/>
  <c r="N49" i="90"/>
  <c r="L49" i="90"/>
  <c r="M49" i="90"/>
  <c r="K49" i="90"/>
  <c r="K50" i="90"/>
  <c r="M50" i="90"/>
  <c r="N50" i="90"/>
  <c r="L50" i="90"/>
  <c r="J50" i="90"/>
  <c r="K68" i="90"/>
  <c r="L68" i="90"/>
  <c r="N68" i="90"/>
  <c r="M68" i="90"/>
  <c r="J68" i="90"/>
  <c r="M40" i="90"/>
  <c r="J40" i="90"/>
  <c r="N40" i="90"/>
  <c r="K40" i="90"/>
  <c r="L40" i="90"/>
  <c r="M65" i="90"/>
  <c r="N65" i="90"/>
  <c r="K65" i="90"/>
  <c r="L65" i="90"/>
  <c r="J65" i="90"/>
  <c r="J60" i="90"/>
  <c r="L60" i="90"/>
  <c r="K60" i="90"/>
  <c r="N60" i="90"/>
  <c r="M60" i="90"/>
  <c r="L66" i="90"/>
  <c r="K66" i="90"/>
  <c r="J66" i="90"/>
  <c r="M66" i="90"/>
  <c r="N66" i="90"/>
  <c r="M36" i="90"/>
  <c r="J36" i="90"/>
  <c r="N36" i="90"/>
  <c r="K36" i="90"/>
  <c r="L36" i="90"/>
  <c r="K61" i="90"/>
  <c r="M61" i="90"/>
  <c r="L61" i="90"/>
  <c r="N61" i="90"/>
  <c r="J61" i="90"/>
  <c r="K200" i="90"/>
  <c r="N200" i="90"/>
  <c r="J200" i="90"/>
  <c r="L200" i="90"/>
  <c r="M200" i="90"/>
  <c r="J180" i="90"/>
  <c r="L180" i="90"/>
  <c r="K180" i="90"/>
  <c r="N180" i="90"/>
  <c r="M180" i="90"/>
  <c r="J70" i="90"/>
  <c r="M70" i="90"/>
  <c r="K70" i="90"/>
  <c r="L70" i="90"/>
  <c r="N70" i="90"/>
  <c r="N169" i="90"/>
  <c r="J169" i="90"/>
  <c r="M169" i="90"/>
  <c r="K169" i="90"/>
  <c r="L169" i="90"/>
  <c r="J229" i="90"/>
  <c r="M229" i="90"/>
  <c r="L229" i="90"/>
  <c r="K229" i="90"/>
  <c r="N229" i="90"/>
  <c r="J153" i="90"/>
  <c r="K153" i="90"/>
  <c r="M153" i="90"/>
  <c r="N153" i="90"/>
  <c r="L153" i="90"/>
  <c r="K171" i="90"/>
  <c r="M171" i="90"/>
  <c r="L171" i="90"/>
  <c r="J171" i="90"/>
  <c r="N171" i="90"/>
  <c r="N194" i="90"/>
  <c r="L194" i="90"/>
  <c r="K194" i="90"/>
  <c r="J194" i="90"/>
  <c r="M194" i="90"/>
  <c r="J195" i="90"/>
  <c r="K195" i="90"/>
  <c r="L195" i="90"/>
  <c r="M195" i="90"/>
  <c r="N195" i="90"/>
  <c r="K191" i="90"/>
  <c r="L191" i="90"/>
  <c r="J191" i="90"/>
  <c r="M191" i="90"/>
  <c r="N191" i="90"/>
  <c r="K45" i="90"/>
  <c r="N45" i="90"/>
  <c r="L45" i="90"/>
  <c r="M45" i="90"/>
  <c r="J45" i="90"/>
  <c r="N38" i="90"/>
  <c r="L38" i="90"/>
  <c r="M38" i="90"/>
  <c r="K55" i="90"/>
  <c r="N55" i="90"/>
  <c r="M55" i="90"/>
  <c r="L55" i="90"/>
  <c r="J55" i="90"/>
  <c r="M46" i="90"/>
  <c r="N46" i="90"/>
  <c r="J46" i="90"/>
  <c r="K46" i="90"/>
  <c r="L46" i="90"/>
  <c r="M53" i="90"/>
  <c r="K53" i="90"/>
  <c r="N53" i="90"/>
  <c r="J53" i="90"/>
  <c r="L53" i="90"/>
  <c r="M56" i="90"/>
  <c r="N56" i="90"/>
  <c r="J56" i="90"/>
  <c r="K56" i="90"/>
  <c r="L56" i="90"/>
  <c r="J57" i="90"/>
  <c r="K57" i="90"/>
  <c r="M57" i="90"/>
  <c r="N57" i="90"/>
  <c r="L57" i="90"/>
  <c r="N42" i="90"/>
  <c r="L42" i="90"/>
  <c r="K42" i="90"/>
  <c r="J42" i="90"/>
  <c r="M42" i="90"/>
  <c r="M47" i="90"/>
  <c r="N47" i="90"/>
  <c r="J47" i="90"/>
  <c r="K47" i="90"/>
  <c r="L47" i="90"/>
  <c r="L44" i="90"/>
  <c r="J44" i="90"/>
  <c r="N44" i="90"/>
  <c r="K44" i="90"/>
  <c r="M44" i="90"/>
  <c r="N69" i="90"/>
  <c r="J69" i="90"/>
  <c r="L69" i="90"/>
  <c r="M69" i="90"/>
  <c r="K69" i="90"/>
  <c r="L186" i="90"/>
  <c r="M186" i="90"/>
  <c r="J186" i="90"/>
  <c r="N186" i="90"/>
  <c r="K186" i="90"/>
  <c r="M152" i="90"/>
  <c r="N152" i="90"/>
  <c r="K152" i="90"/>
  <c r="L152" i="90"/>
  <c r="J152" i="90"/>
  <c r="M35" i="90"/>
  <c r="L35" i="90"/>
  <c r="J35" i="90"/>
  <c r="K35" i="90"/>
  <c r="N35" i="90"/>
  <c r="M170" i="90"/>
  <c r="N170" i="90"/>
  <c r="J170" i="90"/>
  <c r="K170" i="90"/>
  <c r="L170" i="90"/>
  <c r="K187" i="90"/>
  <c r="L187" i="90"/>
  <c r="M187" i="90"/>
  <c r="N187" i="90"/>
  <c r="J187" i="90"/>
  <c r="M231" i="90"/>
  <c r="J231" i="90"/>
  <c r="L231" i="90"/>
  <c r="K231" i="90"/>
  <c r="N231" i="90"/>
  <c r="L210" i="90"/>
  <c r="K210" i="90"/>
  <c r="N210" i="90"/>
  <c r="M210" i="90"/>
  <c r="M228" i="90"/>
  <c r="L228" i="90"/>
  <c r="K228" i="90"/>
  <c r="J228" i="90"/>
  <c r="N228" i="90"/>
  <c r="J201" i="90"/>
  <c r="K201" i="90"/>
  <c r="L201" i="90"/>
  <c r="M201" i="90"/>
  <c r="N201" i="90"/>
  <c r="M147" i="90" l="1"/>
  <c r="H33" i="89" s="1"/>
  <c r="K22" i="90"/>
  <c r="N21" i="90"/>
  <c r="K16" i="90"/>
  <c r="M234" i="90"/>
  <c r="H45" i="89" s="1"/>
  <c r="L147" i="90"/>
  <c r="G33" i="89" s="1"/>
  <c r="L12" i="90"/>
  <c r="J234" i="90"/>
  <c r="K234" i="90"/>
  <c r="F45" i="89" s="1"/>
  <c r="L234" i="90"/>
  <c r="G45" i="89" s="1"/>
  <c r="K24" i="90"/>
  <c r="J24" i="90"/>
  <c r="L24" i="90"/>
  <c r="M24" i="90"/>
  <c r="N24" i="90"/>
  <c r="N147" i="90"/>
  <c r="I33" i="89" s="1"/>
  <c r="N234" i="90"/>
  <c r="I45" i="89" s="1"/>
  <c r="K147" i="90"/>
  <c r="F33" i="89" s="1"/>
  <c r="J147" i="90"/>
  <c r="E33" i="89" l="1"/>
  <c r="O147" i="90"/>
  <c r="P147" i="90" s="1"/>
  <c r="E45" i="89"/>
  <c r="O234" i="90"/>
  <c r="P234" i="90" s="1"/>
  <c r="L21" i="90"/>
  <c r="M16" i="90"/>
  <c r="J21" i="90"/>
  <c r="M21" i="90"/>
  <c r="K21" i="90"/>
  <c r="M22" i="90"/>
  <c r="N22" i="90"/>
  <c r="J22" i="90"/>
  <c r="L22" i="90"/>
  <c r="L16" i="90"/>
  <c r="N16" i="90"/>
  <c r="J16" i="90"/>
  <c r="N14" i="90"/>
  <c r="J14" i="90"/>
  <c r="M14" i="90"/>
  <c r="K14" i="90"/>
  <c r="L14" i="90"/>
  <c r="J27" i="90"/>
  <c r="L27" i="90"/>
  <c r="N27" i="90"/>
  <c r="M27" i="90"/>
  <c r="K27" i="90"/>
  <c r="M11" i="90"/>
  <c r="N11" i="90"/>
  <c r="N23" i="90"/>
  <c r="L23" i="90"/>
  <c r="J23" i="90"/>
  <c r="K23" i="90"/>
  <c r="M23" i="90"/>
  <c r="J26" i="90"/>
  <c r="K26" i="90"/>
  <c r="M26" i="90"/>
  <c r="L26" i="90"/>
  <c r="N26" i="90"/>
  <c r="K10" i="90"/>
  <c r="J10" i="90"/>
  <c r="L10" i="90"/>
  <c r="N10" i="90"/>
  <c r="M10" i="90"/>
  <c r="L20" i="90"/>
  <c r="J20" i="90"/>
  <c r="N20" i="90"/>
  <c r="M20" i="90"/>
  <c r="K20" i="90"/>
  <c r="K28" i="90"/>
  <c r="J28" i="90"/>
  <c r="N28" i="90"/>
  <c r="M28" i="90"/>
  <c r="L28" i="90"/>
  <c r="N25" i="90"/>
  <c r="L25" i="90"/>
  <c r="K25" i="90"/>
  <c r="M25" i="90"/>
  <c r="J25" i="90"/>
  <c r="K15" i="90"/>
  <c r="J15" i="90"/>
  <c r="L15" i="90"/>
  <c r="N15" i="90"/>
  <c r="M15" i="90"/>
  <c r="L13" i="90"/>
  <c r="N13" i="90"/>
  <c r="M13" i="90"/>
  <c r="K13" i="90"/>
  <c r="J13" i="90"/>
  <c r="K17" i="90"/>
  <c r="J17" i="90"/>
  <c r="L17" i="90"/>
  <c r="M17" i="90"/>
  <c r="N17" i="90"/>
  <c r="N31" i="90" l="1"/>
  <c r="I20" i="89" s="1"/>
  <c r="M31" i="90"/>
  <c r="H20" i="89" s="1"/>
  <c r="L31" i="90"/>
  <c r="G20" i="89" s="1"/>
  <c r="G44" i="206" l="1"/>
  <c r="G46" i="206" s="1"/>
  <c r="L68" i="204" s="1"/>
  <c r="J68" i="204" l="1"/>
  <c r="J69" i="204" s="1"/>
  <c r="L69" i="204" s="1"/>
  <c r="G44" i="205"/>
  <c r="L207" i="204" s="1"/>
  <c r="L209" i="204" s="1"/>
  <c r="L56" i="204" l="1"/>
  <c r="L211" i="204"/>
  <c r="J57" i="204" l="1"/>
  <c r="L57" i="204" s="1"/>
  <c r="L79" i="204" s="1"/>
  <c r="J102" i="204"/>
  <c r="L102" i="204" s="1"/>
  <c r="J134" i="204"/>
  <c r="L134" i="204" s="1"/>
  <c r="L101" i="204" s="1"/>
  <c r="J144" i="204"/>
  <c r="J153" i="204"/>
  <c r="L153" i="204" s="1"/>
  <c r="J215" i="204"/>
  <c r="L215" i="204" s="1"/>
  <c r="L219" i="204" s="1"/>
  <c r="L221" i="204" s="1"/>
  <c r="F55" i="216" l="1"/>
  <c r="R30" i="216" s="1"/>
  <c r="F55" i="215"/>
  <c r="P29" i="215" s="1"/>
  <c r="J160" i="204"/>
  <c r="L160" i="204" s="1"/>
  <c r="J60" i="204"/>
  <c r="L60" i="204" s="1"/>
  <c r="J155" i="204"/>
  <c r="L155" i="204" s="1"/>
  <c r="J72" i="204"/>
  <c r="L72" i="204" s="1"/>
  <c r="J105" i="204"/>
  <c r="L105" i="204" s="1"/>
  <c r="J98" i="204"/>
  <c r="L98" i="204" s="1"/>
  <c r="J61" i="204"/>
  <c r="L61" i="204" s="1"/>
  <c r="J103" i="204"/>
  <c r="L103" i="204" s="1"/>
  <c r="I26" i="208"/>
  <c r="J154" i="204"/>
  <c r="L154" i="204" s="1"/>
  <c r="J73" i="204"/>
  <c r="L73" i="204" s="1"/>
  <c r="J142" i="204"/>
  <c r="J62" i="204"/>
  <c r="L62" i="204" s="1"/>
  <c r="J147" i="204"/>
  <c r="L147" i="204" s="1"/>
  <c r="J74" i="204"/>
  <c r="L74" i="204" s="1"/>
  <c r="F71" i="215"/>
  <c r="P31" i="215" s="1"/>
  <c r="F71" i="216"/>
  <c r="R32" i="216" s="1"/>
  <c r="L82" i="204" l="1"/>
  <c r="L156" i="204"/>
  <c r="L75" i="204"/>
  <c r="L81" i="204"/>
  <c r="I37" i="208"/>
  <c r="L63" i="204"/>
  <c r="J63" i="204" s="1"/>
  <c r="L83" i="204" l="1"/>
  <c r="J83" i="204" s="1"/>
  <c r="J106" i="204"/>
  <c r="L106" i="204" s="1"/>
  <c r="J104" i="204"/>
  <c r="L104" i="204" s="1"/>
  <c r="J145" i="204"/>
  <c r="L145" i="204" s="1"/>
  <c r="G26" i="208"/>
  <c r="J162" i="204"/>
  <c r="L162" i="204" s="1"/>
  <c r="J164" i="204"/>
  <c r="L164" i="204" s="1"/>
  <c r="J143" i="204"/>
  <c r="L143" i="204" s="1"/>
  <c r="J178" i="204"/>
  <c r="L178" i="204" s="1"/>
  <c r="I51" i="208"/>
  <c r="L109" i="204" l="1"/>
  <c r="F33" i="215"/>
  <c r="P22" i="215" s="1"/>
  <c r="F33" i="216"/>
  <c r="R23" i="216" s="1"/>
  <c r="L165" i="204"/>
  <c r="G37" i="208"/>
  <c r="G51" i="208" l="1"/>
  <c r="G63" i="208" l="1"/>
  <c r="G64" i="208" s="1"/>
  <c r="J64" i="208" s="1"/>
  <c r="L91" i="204" s="1"/>
  <c r="D20" i="193" l="1"/>
  <c r="D51" i="193" s="1"/>
  <c r="D53" i="193" s="1"/>
  <c r="L174" i="86" s="1"/>
  <c r="L179" i="86" s="1"/>
  <c r="F22" i="193"/>
  <c r="D22" i="193" s="1"/>
  <c r="F34" i="129" l="1"/>
  <c r="R24" i="129" s="1"/>
  <c r="F34" i="143"/>
  <c r="P23" i="143" s="1"/>
  <c r="F29" i="193"/>
  <c r="F30" i="193" l="1"/>
  <c r="D29" i="193"/>
  <c r="D30" i="193" l="1"/>
  <c r="J160" i="210" l="1"/>
  <c r="N160" i="210"/>
  <c r="M160" i="210"/>
  <c r="L160" i="210"/>
  <c r="K160" i="210"/>
  <c r="K93" i="210"/>
  <c r="L93" i="210"/>
  <c r="M93" i="210"/>
  <c r="N93" i="210"/>
  <c r="J93" i="210"/>
  <c r="L198" i="209"/>
  <c r="K198" i="209"/>
  <c r="M198" i="209"/>
  <c r="N198" i="209"/>
  <c r="J198" i="209"/>
  <c r="J184" i="210"/>
  <c r="N184" i="210"/>
  <c r="L184" i="210"/>
  <c r="M184" i="210"/>
  <c r="K184" i="210"/>
  <c r="K201" i="209"/>
  <c r="N201" i="209"/>
  <c r="L201" i="209"/>
  <c r="M201" i="209"/>
  <c r="J201" i="209"/>
  <c r="N76" i="210"/>
  <c r="J76" i="210"/>
  <c r="K76" i="210"/>
  <c r="M76" i="210"/>
  <c r="L76" i="210"/>
  <c r="N200" i="209"/>
  <c r="K200" i="209"/>
  <c r="L200" i="209"/>
  <c r="M200" i="209"/>
  <c r="J200" i="209"/>
  <c r="J98" i="209"/>
  <c r="L199" i="209"/>
  <c r="M199" i="209"/>
  <c r="N199" i="209"/>
  <c r="K199" i="209"/>
  <c r="J199" i="209"/>
  <c r="M132" i="209" l="1"/>
  <c r="N132" i="209"/>
  <c r="J132" i="209"/>
  <c r="K132" i="209"/>
  <c r="L132" i="209"/>
  <c r="K53" i="210"/>
  <c r="L53" i="210"/>
  <c r="M53" i="210"/>
  <c r="N53" i="210"/>
  <c r="J53" i="210"/>
  <c r="K181" i="209"/>
  <c r="L181" i="209"/>
  <c r="M181" i="209"/>
  <c r="J181" i="209"/>
  <c r="N181" i="209"/>
  <c r="L104" i="209"/>
  <c r="M104" i="209"/>
  <c r="J104" i="209"/>
  <c r="N104" i="209"/>
  <c r="K104" i="209"/>
  <c r="N116" i="209"/>
  <c r="L116" i="209"/>
  <c r="J116" i="209"/>
  <c r="K116" i="209"/>
  <c r="M116" i="209"/>
  <c r="N176" i="210"/>
  <c r="L176" i="210"/>
  <c r="K176" i="210"/>
  <c r="M176" i="210"/>
  <c r="J176" i="210"/>
  <c r="M138" i="210"/>
  <c r="N138" i="210"/>
  <c r="J138" i="210"/>
  <c r="K138" i="210"/>
  <c r="L138" i="210"/>
  <c r="J183" i="210"/>
  <c r="L183" i="210"/>
  <c r="M183" i="210"/>
  <c r="K183" i="210"/>
  <c r="N183" i="210"/>
  <c r="K116" i="210"/>
  <c r="L116" i="210"/>
  <c r="M116" i="210"/>
  <c r="J116" i="210"/>
  <c r="N116" i="210"/>
  <c r="J77" i="210"/>
  <c r="K77" i="210"/>
  <c r="L77" i="210"/>
  <c r="M77" i="210"/>
  <c r="N77" i="210"/>
  <c r="M39" i="210"/>
  <c r="L39" i="210"/>
  <c r="K39" i="210"/>
  <c r="N39" i="210"/>
  <c r="J39" i="210"/>
  <c r="N72" i="209"/>
  <c r="J72" i="209"/>
  <c r="K72" i="209"/>
  <c r="L72" i="209"/>
  <c r="M72" i="209"/>
  <c r="K112" i="209"/>
  <c r="N112" i="209"/>
  <c r="J112" i="209"/>
  <c r="M112" i="209"/>
  <c r="L112" i="209"/>
  <c r="K29" i="210"/>
  <c r="N29" i="210"/>
  <c r="J29" i="210"/>
  <c r="M29" i="210"/>
  <c r="L29" i="210"/>
  <c r="L52" i="209"/>
  <c r="M52" i="209"/>
  <c r="J52" i="209"/>
  <c r="N52" i="209"/>
  <c r="K52" i="209"/>
  <c r="J10" i="209"/>
  <c r="M10" i="209"/>
  <c r="N10" i="209"/>
  <c r="L10" i="209"/>
  <c r="K10" i="209"/>
  <c r="M34" i="209"/>
  <c r="N34" i="209"/>
  <c r="K34" i="209"/>
  <c r="L34" i="209"/>
  <c r="J34" i="209"/>
  <c r="L23" i="210"/>
  <c r="J23" i="210"/>
  <c r="K23" i="210"/>
  <c r="N23" i="210"/>
  <c r="M23" i="210"/>
  <c r="J156" i="210"/>
  <c r="N156" i="210"/>
  <c r="M156" i="210"/>
  <c r="K156" i="210"/>
  <c r="L156" i="210"/>
  <c r="N91" i="210"/>
  <c r="J91" i="210"/>
  <c r="K91" i="210"/>
  <c r="L91" i="210"/>
  <c r="M91" i="210"/>
  <c r="K63" i="209"/>
  <c r="J63" i="209"/>
  <c r="L63" i="209"/>
  <c r="M63" i="209"/>
  <c r="N63" i="209"/>
  <c r="L96" i="209"/>
  <c r="K96" i="209"/>
  <c r="M96" i="209"/>
  <c r="N96" i="209"/>
  <c r="J96" i="209"/>
  <c r="N11" i="209"/>
  <c r="M11" i="209"/>
  <c r="J167" i="209"/>
  <c r="K167" i="209"/>
  <c r="L167" i="209"/>
  <c r="M167" i="209"/>
  <c r="N167" i="209"/>
  <c r="N98" i="210"/>
  <c r="J98" i="210"/>
  <c r="L98" i="210"/>
  <c r="M98" i="210"/>
  <c r="K98" i="210"/>
  <c r="J111" i="209"/>
  <c r="K111" i="209"/>
  <c r="M111" i="209"/>
  <c r="L111" i="209"/>
  <c r="N111" i="209"/>
  <c r="K18" i="209"/>
  <c r="N18" i="209"/>
  <c r="J18" i="209"/>
  <c r="L18" i="209"/>
  <c r="M18" i="209"/>
  <c r="K61" i="210"/>
  <c r="M61" i="210"/>
  <c r="N61" i="210"/>
  <c r="L61" i="210"/>
  <c r="J61" i="210"/>
  <c r="L75" i="210"/>
  <c r="M75" i="210"/>
  <c r="N75" i="210"/>
  <c r="K75" i="210"/>
  <c r="J75" i="210"/>
  <c r="K152" i="209"/>
  <c r="L152" i="209"/>
  <c r="M152" i="209"/>
  <c r="J152" i="209"/>
  <c r="N152" i="209"/>
  <c r="N183" i="209"/>
  <c r="J183" i="209"/>
  <c r="K183" i="209"/>
  <c r="M183" i="209"/>
  <c r="L183" i="209"/>
  <c r="M181" i="210"/>
  <c r="K181" i="210"/>
  <c r="N181" i="210"/>
  <c r="J181" i="210"/>
  <c r="L181" i="210"/>
  <c r="N26" i="209"/>
  <c r="L26" i="209"/>
  <c r="K26" i="209"/>
  <c r="M26" i="209"/>
  <c r="J26" i="209"/>
  <c r="N178" i="209"/>
  <c r="M178" i="209"/>
  <c r="J178" i="209"/>
  <c r="K178" i="209"/>
  <c r="L178" i="209"/>
  <c r="J109" i="209"/>
  <c r="M109" i="209"/>
  <c r="K109" i="209"/>
  <c r="L109" i="209"/>
  <c r="N109" i="209"/>
  <c r="M77" i="209"/>
  <c r="J77" i="209"/>
  <c r="K77" i="209"/>
  <c r="L77" i="209"/>
  <c r="N77" i="209"/>
  <c r="N118" i="209"/>
  <c r="L118" i="209"/>
  <c r="K118" i="209"/>
  <c r="J118" i="209"/>
  <c r="M118" i="209"/>
  <c r="L121" i="209"/>
  <c r="N121" i="209"/>
  <c r="M121" i="209"/>
  <c r="J121" i="209"/>
  <c r="K121" i="209"/>
  <c r="N26" i="210"/>
  <c r="M26" i="210"/>
  <c r="L26" i="210"/>
  <c r="J26" i="210"/>
  <c r="K26" i="210"/>
  <c r="L76" i="209"/>
  <c r="K76" i="209"/>
  <c r="M76" i="209"/>
  <c r="N76" i="209"/>
  <c r="J76" i="209"/>
  <c r="L137" i="210"/>
  <c r="J137" i="210"/>
  <c r="K137" i="210"/>
  <c r="M137" i="210"/>
  <c r="N137" i="210"/>
  <c r="J136" i="210"/>
  <c r="K136" i="210"/>
  <c r="N136" i="210"/>
  <c r="L136" i="210"/>
  <c r="M136" i="210"/>
  <c r="L134" i="209"/>
  <c r="J134" i="209"/>
  <c r="K134" i="209"/>
  <c r="N134" i="209"/>
  <c r="M134" i="209"/>
  <c r="J41" i="210"/>
  <c r="L41" i="210"/>
  <c r="N41" i="210"/>
  <c r="M41" i="210"/>
  <c r="K41" i="210"/>
  <c r="M13" i="209"/>
  <c r="J13" i="209"/>
  <c r="K13" i="209"/>
  <c r="L13" i="209"/>
  <c r="N13" i="209"/>
  <c r="M97" i="209"/>
  <c r="L97" i="209"/>
  <c r="J97" i="209"/>
  <c r="N97" i="209"/>
  <c r="K97" i="209"/>
  <c r="J18" i="210"/>
  <c r="K18" i="210"/>
  <c r="N18" i="210"/>
  <c r="M18" i="210"/>
  <c r="L18" i="210"/>
  <c r="N119" i="210"/>
  <c r="J119" i="210"/>
  <c r="K119" i="210"/>
  <c r="L119" i="210"/>
  <c r="M119" i="210"/>
  <c r="K71" i="209"/>
  <c r="L71" i="209"/>
  <c r="M71" i="209"/>
  <c r="N71" i="209"/>
  <c r="J71" i="209"/>
  <c r="J86" i="210"/>
  <c r="K86" i="210"/>
  <c r="L86" i="210"/>
  <c r="N86" i="210"/>
  <c r="M86" i="210"/>
  <c r="L67" i="210"/>
  <c r="K67" i="210"/>
  <c r="M67" i="210"/>
  <c r="N67" i="210"/>
  <c r="J67" i="210"/>
  <c r="M187" i="209"/>
  <c r="N187" i="209"/>
  <c r="J187" i="209"/>
  <c r="K187" i="209"/>
  <c r="L187" i="209"/>
  <c r="L73" i="209"/>
  <c r="J73" i="209"/>
  <c r="N73" i="209"/>
  <c r="M73" i="209"/>
  <c r="K73" i="209"/>
  <c r="M73" i="210"/>
  <c r="N73" i="210"/>
  <c r="J73" i="210"/>
  <c r="L73" i="210"/>
  <c r="K73" i="210"/>
  <c r="N106" i="210"/>
  <c r="J106" i="210"/>
  <c r="L106" i="210"/>
  <c r="M106" i="210"/>
  <c r="K106" i="210"/>
  <c r="J28" i="209"/>
  <c r="M28" i="209"/>
  <c r="N28" i="209"/>
  <c r="K28" i="209"/>
  <c r="L28" i="209"/>
  <c r="L52" i="210"/>
  <c r="M52" i="210"/>
  <c r="N52" i="210"/>
  <c r="K52" i="210"/>
  <c r="J52" i="210"/>
  <c r="K20" i="209"/>
  <c r="J20" i="209"/>
  <c r="L20" i="209"/>
  <c r="M20" i="209"/>
  <c r="N20" i="209"/>
  <c r="N35" i="210"/>
  <c r="L35" i="210"/>
  <c r="K35" i="210"/>
  <c r="J35" i="210"/>
  <c r="M35" i="210"/>
  <c r="N23" i="209"/>
  <c r="M23" i="209"/>
  <c r="J23" i="209"/>
  <c r="L23" i="209"/>
  <c r="K23" i="209"/>
  <c r="L158" i="209"/>
  <c r="M158" i="209"/>
  <c r="N158" i="209"/>
  <c r="J158" i="209"/>
  <c r="K158" i="209"/>
  <c r="J188" i="209"/>
  <c r="K188" i="209"/>
  <c r="L188" i="209"/>
  <c r="M188" i="209"/>
  <c r="N188" i="209"/>
  <c r="L89" i="209"/>
  <c r="J89" i="209"/>
  <c r="K89" i="209"/>
  <c r="M89" i="209"/>
  <c r="N89" i="209"/>
  <c r="J64" i="210"/>
  <c r="K64" i="210"/>
  <c r="L64" i="210"/>
  <c r="N64" i="210"/>
  <c r="M64" i="210"/>
  <c r="M90" i="210"/>
  <c r="N90" i="210"/>
  <c r="J90" i="210"/>
  <c r="L90" i="210"/>
  <c r="K90" i="210"/>
  <c r="M12" i="209"/>
  <c r="L12" i="209"/>
  <c r="N12" i="209"/>
  <c r="N171" i="210"/>
  <c r="M171" i="210"/>
  <c r="K171" i="210"/>
  <c r="L171" i="210"/>
  <c r="J171" i="210"/>
  <c r="J189" i="209"/>
  <c r="K189" i="209"/>
  <c r="L189" i="209"/>
  <c r="M189" i="209"/>
  <c r="N189" i="209"/>
  <c r="M88" i="209"/>
  <c r="N88" i="209"/>
  <c r="K88" i="209"/>
  <c r="J88" i="209"/>
  <c r="L88" i="209"/>
  <c r="L87" i="209"/>
  <c r="M87" i="209"/>
  <c r="J87" i="209"/>
  <c r="N87" i="209"/>
  <c r="K87" i="209"/>
  <c r="M136" i="209"/>
  <c r="N136" i="209"/>
  <c r="L136" i="209"/>
  <c r="J136" i="209"/>
  <c r="K136" i="209"/>
  <c r="M43" i="210"/>
  <c r="K43" i="210"/>
  <c r="L43" i="210"/>
  <c r="J43" i="210"/>
  <c r="N43" i="210"/>
  <c r="M40" i="210"/>
  <c r="L40" i="210"/>
  <c r="K40" i="210"/>
  <c r="N40" i="210"/>
  <c r="J40" i="210"/>
  <c r="M158" i="210"/>
  <c r="N158" i="210"/>
  <c r="L158" i="210"/>
  <c r="K158" i="210"/>
  <c r="J158" i="210"/>
  <c r="J185" i="210"/>
  <c r="L185" i="210"/>
  <c r="K185" i="210"/>
  <c r="M185" i="210"/>
  <c r="N185" i="210"/>
  <c r="L91" i="209"/>
  <c r="J91" i="209"/>
  <c r="N91" i="209"/>
  <c r="K91" i="209"/>
  <c r="M91" i="209"/>
  <c r="L153" i="209"/>
  <c r="M153" i="209"/>
  <c r="N153" i="209"/>
  <c r="J153" i="209"/>
  <c r="K153" i="209"/>
  <c r="N184" i="209"/>
  <c r="J184" i="209"/>
  <c r="K184" i="209"/>
  <c r="M184" i="209"/>
  <c r="L184" i="209"/>
  <c r="N182" i="210"/>
  <c r="M182" i="210"/>
  <c r="K182" i="210"/>
  <c r="L182" i="210"/>
  <c r="J182" i="210"/>
  <c r="M103" i="210"/>
  <c r="L103" i="210"/>
  <c r="N103" i="210"/>
  <c r="K103" i="210"/>
  <c r="J103" i="210"/>
  <c r="J115" i="209"/>
  <c r="K115" i="209"/>
  <c r="M115" i="209"/>
  <c r="L115" i="209"/>
  <c r="N115" i="209"/>
  <c r="K50" i="210"/>
  <c r="N50" i="210"/>
  <c r="L50" i="210"/>
  <c r="M50" i="210"/>
  <c r="J50" i="210"/>
  <c r="N25" i="209"/>
  <c r="J25" i="209"/>
  <c r="M25" i="209"/>
  <c r="K25" i="209"/>
  <c r="L25" i="209"/>
  <c r="J148" i="209"/>
  <c r="L148" i="209"/>
  <c r="M148" i="209"/>
  <c r="N148" i="209"/>
  <c r="K148" i="209"/>
  <c r="K118" i="210"/>
  <c r="L118" i="210"/>
  <c r="N118" i="210"/>
  <c r="J118" i="210"/>
  <c r="M118" i="210"/>
  <c r="N40" i="209"/>
  <c r="K40" i="209"/>
  <c r="M40" i="209"/>
  <c r="L40" i="209"/>
  <c r="J40" i="209"/>
  <c r="K179" i="209"/>
  <c r="M179" i="209"/>
  <c r="L179" i="209"/>
  <c r="N179" i="209"/>
  <c r="J179" i="209"/>
  <c r="L149" i="209"/>
  <c r="N149" i="209"/>
  <c r="M149" i="209"/>
  <c r="J149" i="209"/>
  <c r="K149" i="209"/>
  <c r="N29" i="209"/>
  <c r="K29" i="209"/>
  <c r="M29" i="209"/>
  <c r="J29" i="209"/>
  <c r="L29" i="209"/>
  <c r="N60" i="209"/>
  <c r="L60" i="209"/>
  <c r="M60" i="209"/>
  <c r="K60" i="209"/>
  <c r="J60" i="209"/>
  <c r="M176" i="209"/>
  <c r="N176" i="209"/>
  <c r="J176" i="209"/>
  <c r="K176" i="209"/>
  <c r="L176" i="209"/>
  <c r="N177" i="209"/>
  <c r="J177" i="209"/>
  <c r="L177" i="209"/>
  <c r="M177" i="209"/>
  <c r="K177" i="209"/>
  <c r="M174" i="210"/>
  <c r="L174" i="210"/>
  <c r="K174" i="210"/>
  <c r="J174" i="210"/>
  <c r="N174" i="210"/>
  <c r="M33" i="209"/>
  <c r="L33" i="209"/>
  <c r="N33" i="209"/>
  <c r="K33" i="209"/>
  <c r="J33" i="209"/>
  <c r="L15" i="210"/>
  <c r="K15" i="210"/>
  <c r="J15" i="210"/>
  <c r="M15" i="210"/>
  <c r="N15" i="210"/>
  <c r="J157" i="209"/>
  <c r="L157" i="209"/>
  <c r="K157" i="209"/>
  <c r="N157" i="209"/>
  <c r="M157" i="209"/>
  <c r="K106" i="209"/>
  <c r="M106" i="209"/>
  <c r="N106" i="209"/>
  <c r="L106" i="209"/>
  <c r="J106" i="209"/>
  <c r="M100" i="210"/>
  <c r="K100" i="210"/>
  <c r="L100" i="210"/>
  <c r="N100" i="210"/>
  <c r="J100" i="210"/>
  <c r="M31" i="210"/>
  <c r="L31" i="210"/>
  <c r="N31" i="210"/>
  <c r="K31" i="210"/>
  <c r="J31" i="210"/>
  <c r="J54" i="209"/>
  <c r="K54" i="209"/>
  <c r="N54" i="209"/>
  <c r="L54" i="209"/>
  <c r="M54" i="209"/>
  <c r="J80" i="209"/>
  <c r="K80" i="209"/>
  <c r="M80" i="209"/>
  <c r="N80" i="209"/>
  <c r="L80" i="209"/>
  <c r="K137" i="209"/>
  <c r="N137" i="209"/>
  <c r="J137" i="209"/>
  <c r="M137" i="209"/>
  <c r="L137" i="209"/>
  <c r="L36" i="210"/>
  <c r="K36" i="210"/>
  <c r="J36" i="210"/>
  <c r="N36" i="210"/>
  <c r="M36" i="210"/>
  <c r="M110" i="209"/>
  <c r="K110" i="209"/>
  <c r="N110" i="209"/>
  <c r="J110" i="209"/>
  <c r="L110" i="209"/>
  <c r="M162" i="210"/>
  <c r="K162" i="210"/>
  <c r="L162" i="210"/>
  <c r="N162" i="210"/>
  <c r="J162" i="210"/>
  <c r="L123" i="210"/>
  <c r="M123" i="210"/>
  <c r="N123" i="210"/>
  <c r="K123" i="210"/>
  <c r="J123" i="210"/>
  <c r="N84" i="210"/>
  <c r="M84" i="210"/>
  <c r="L84" i="210"/>
  <c r="J84" i="210"/>
  <c r="K84" i="210"/>
  <c r="J38" i="210"/>
  <c r="L38" i="210"/>
  <c r="K38" i="210"/>
  <c r="N38" i="210"/>
  <c r="M38" i="210"/>
  <c r="L71" i="210"/>
  <c r="M71" i="210"/>
  <c r="N71" i="210"/>
  <c r="K71" i="210"/>
  <c r="J71" i="210"/>
  <c r="K103" i="209"/>
  <c r="J103" i="209"/>
  <c r="L103" i="209"/>
  <c r="N103" i="209"/>
  <c r="M103" i="209"/>
  <c r="K175" i="209"/>
  <c r="L175" i="209"/>
  <c r="M175" i="209"/>
  <c r="J175" i="209"/>
  <c r="N175" i="209"/>
  <c r="M189" i="210"/>
  <c r="K189" i="210"/>
  <c r="J189" i="210"/>
  <c r="N189" i="210"/>
  <c r="L189" i="210"/>
  <c r="N83" i="210"/>
  <c r="J83" i="210"/>
  <c r="K83" i="210"/>
  <c r="M83" i="210"/>
  <c r="L83" i="210"/>
  <c r="J82" i="210"/>
  <c r="K82" i="210"/>
  <c r="L82" i="210"/>
  <c r="M82" i="210"/>
  <c r="N82" i="210"/>
  <c r="K120" i="210"/>
  <c r="M120" i="210"/>
  <c r="N120" i="210"/>
  <c r="L120" i="210"/>
  <c r="J120" i="210"/>
  <c r="M42" i="209"/>
  <c r="K42" i="209"/>
  <c r="L42" i="209"/>
  <c r="N42" i="209"/>
  <c r="J42" i="209"/>
  <c r="K39" i="209"/>
  <c r="L39" i="209"/>
  <c r="N39" i="209"/>
  <c r="J39" i="209"/>
  <c r="M39" i="209"/>
  <c r="N160" i="209"/>
  <c r="J160" i="209"/>
  <c r="K160" i="209"/>
  <c r="M160" i="209"/>
  <c r="L160" i="209"/>
  <c r="K190" i="209"/>
  <c r="L190" i="209"/>
  <c r="M190" i="209"/>
  <c r="N190" i="209"/>
  <c r="J190" i="209"/>
  <c r="K85" i="210"/>
  <c r="L85" i="210"/>
  <c r="M85" i="210"/>
  <c r="J85" i="210"/>
  <c r="N85" i="210"/>
  <c r="J159" i="210"/>
  <c r="N159" i="210"/>
  <c r="L159" i="210"/>
  <c r="M159" i="210"/>
  <c r="K159" i="210"/>
  <c r="M186" i="210"/>
  <c r="K186" i="210"/>
  <c r="J186" i="210"/>
  <c r="L186" i="210"/>
  <c r="N186" i="210"/>
  <c r="L154" i="209"/>
  <c r="M154" i="209"/>
  <c r="N154" i="209"/>
  <c r="J154" i="209"/>
  <c r="K154" i="209"/>
  <c r="N185" i="209"/>
  <c r="J185" i="209"/>
  <c r="L185" i="209"/>
  <c r="K185" i="209"/>
  <c r="M185" i="209"/>
  <c r="M101" i="209"/>
  <c r="L101" i="209"/>
  <c r="J101" i="209"/>
  <c r="N101" i="209"/>
  <c r="K101" i="209"/>
  <c r="N67" i="209"/>
  <c r="J67" i="209"/>
  <c r="L67" i="209"/>
  <c r="M67" i="209"/>
  <c r="K67" i="209"/>
  <c r="K114" i="209"/>
  <c r="M114" i="209"/>
  <c r="N114" i="209"/>
  <c r="J114" i="209"/>
  <c r="L114" i="209"/>
  <c r="K16" i="210"/>
  <c r="L16" i="210"/>
  <c r="N16" i="210"/>
  <c r="M16" i="210"/>
  <c r="J16" i="210"/>
  <c r="K58" i="209"/>
  <c r="N58" i="209"/>
  <c r="J58" i="209"/>
  <c r="L58" i="209"/>
  <c r="M58" i="209"/>
  <c r="L100" i="209"/>
  <c r="N100" i="209"/>
  <c r="K100" i="209"/>
  <c r="J100" i="209"/>
  <c r="M100" i="209"/>
  <c r="J24" i="210"/>
  <c r="N24" i="210"/>
  <c r="M24" i="210"/>
  <c r="K24" i="210"/>
  <c r="L24" i="210"/>
  <c r="K70" i="210"/>
  <c r="L70" i="210"/>
  <c r="M70" i="210"/>
  <c r="N70" i="210"/>
  <c r="J70" i="210"/>
  <c r="J150" i="209"/>
  <c r="K150" i="209"/>
  <c r="L150" i="209"/>
  <c r="M150" i="209"/>
  <c r="N150" i="209"/>
  <c r="L12" i="210"/>
  <c r="N12" i="210"/>
  <c r="M12" i="210"/>
  <c r="J74" i="209"/>
  <c r="K74" i="209"/>
  <c r="L74" i="209"/>
  <c r="M74" i="209"/>
  <c r="N74" i="209"/>
  <c r="J80" i="210"/>
  <c r="K80" i="210"/>
  <c r="L80" i="210"/>
  <c r="N80" i="210"/>
  <c r="M80" i="210"/>
  <c r="K171" i="209"/>
  <c r="L171" i="209"/>
  <c r="M171" i="209"/>
  <c r="N171" i="209"/>
  <c r="J171" i="209"/>
  <c r="K146" i="209"/>
  <c r="J146" i="209"/>
  <c r="N146" i="209"/>
  <c r="L146" i="209"/>
  <c r="M146" i="209"/>
  <c r="M38" i="209"/>
  <c r="J38" i="209"/>
  <c r="K38" i="209"/>
  <c r="L38" i="209"/>
  <c r="N38" i="209"/>
  <c r="L74" i="210"/>
  <c r="M74" i="210"/>
  <c r="N74" i="210"/>
  <c r="K74" i="210"/>
  <c r="J74" i="210"/>
  <c r="L165" i="209"/>
  <c r="M165" i="209"/>
  <c r="N165" i="209"/>
  <c r="K165" i="209"/>
  <c r="J165" i="209"/>
  <c r="N98" i="209"/>
  <c r="K98" i="209"/>
  <c r="M98" i="209"/>
  <c r="L98" i="209"/>
  <c r="N64" i="209"/>
  <c r="J64" i="209"/>
  <c r="K64" i="209"/>
  <c r="L64" i="209"/>
  <c r="M64" i="209"/>
  <c r="N30" i="209"/>
  <c r="J30" i="209"/>
  <c r="L30" i="209"/>
  <c r="M30" i="209"/>
  <c r="K30" i="209"/>
  <c r="M54" i="210"/>
  <c r="K54" i="210"/>
  <c r="L54" i="210"/>
  <c r="N54" i="210"/>
  <c r="J54" i="210"/>
  <c r="M121" i="210"/>
  <c r="N121" i="210"/>
  <c r="J121" i="210"/>
  <c r="K121" i="210"/>
  <c r="L121" i="210"/>
  <c r="K35" i="209"/>
  <c r="M35" i="209"/>
  <c r="N35" i="209"/>
  <c r="J35" i="209"/>
  <c r="L35" i="209"/>
  <c r="N104" i="210"/>
  <c r="K104" i="210"/>
  <c r="L104" i="210"/>
  <c r="J104" i="210"/>
  <c r="M104" i="210"/>
  <c r="L166" i="209"/>
  <c r="M166" i="209"/>
  <c r="N166" i="209"/>
  <c r="K166" i="209"/>
  <c r="J166" i="209"/>
  <c r="L131" i="209"/>
  <c r="M131" i="209"/>
  <c r="N131" i="209"/>
  <c r="K131" i="209"/>
  <c r="J131" i="209"/>
  <c r="K37" i="209"/>
  <c r="N37" i="209"/>
  <c r="L37" i="209"/>
  <c r="J37" i="209"/>
  <c r="M37" i="209"/>
  <c r="J70" i="209"/>
  <c r="N70" i="209"/>
  <c r="K70" i="209"/>
  <c r="L70" i="209"/>
  <c r="M70" i="209"/>
  <c r="N97" i="210"/>
  <c r="L97" i="210"/>
  <c r="K97" i="210"/>
  <c r="J97" i="210"/>
  <c r="M97" i="210"/>
  <c r="J83" i="209"/>
  <c r="L83" i="209"/>
  <c r="K83" i="209"/>
  <c r="N83" i="209"/>
  <c r="M83" i="209"/>
  <c r="N179" i="210"/>
  <c r="M179" i="210"/>
  <c r="L179" i="210"/>
  <c r="K179" i="210"/>
  <c r="J179" i="210"/>
  <c r="K61" i="209"/>
  <c r="L61" i="209"/>
  <c r="M61" i="209"/>
  <c r="J61" i="209"/>
  <c r="N61" i="209"/>
  <c r="J102" i="209"/>
  <c r="K102" i="209"/>
  <c r="L102" i="209"/>
  <c r="M102" i="209"/>
  <c r="N102" i="209"/>
  <c r="J193" i="209"/>
  <c r="K193" i="209"/>
  <c r="L193" i="209"/>
  <c r="M193" i="209"/>
  <c r="N193" i="209"/>
  <c r="M164" i="210"/>
  <c r="L164" i="210"/>
  <c r="J164" i="210"/>
  <c r="N164" i="210"/>
  <c r="K164" i="210"/>
  <c r="M190" i="210"/>
  <c r="K190" i="210"/>
  <c r="L190" i="210"/>
  <c r="N190" i="210"/>
  <c r="J190" i="210"/>
  <c r="N56" i="209"/>
  <c r="J56" i="209"/>
  <c r="K56" i="209"/>
  <c r="M56" i="209"/>
  <c r="L56" i="209"/>
  <c r="K161" i="209"/>
  <c r="N161" i="209"/>
  <c r="M161" i="209"/>
  <c r="L161" i="209"/>
  <c r="J161" i="209"/>
  <c r="J191" i="209"/>
  <c r="K191" i="209"/>
  <c r="L191" i="209"/>
  <c r="M191" i="209"/>
  <c r="N191" i="209"/>
  <c r="N94" i="209"/>
  <c r="J94" i="209"/>
  <c r="M94" i="209"/>
  <c r="K94" i="209"/>
  <c r="L94" i="209"/>
  <c r="N187" i="210"/>
  <c r="K187" i="210"/>
  <c r="M187" i="210"/>
  <c r="J187" i="210"/>
  <c r="L187" i="210"/>
  <c r="L95" i="210"/>
  <c r="J95" i="210"/>
  <c r="M95" i="210"/>
  <c r="K95" i="210"/>
  <c r="N95" i="210"/>
  <c r="J68" i="210"/>
  <c r="K68" i="210"/>
  <c r="L68" i="210"/>
  <c r="M68" i="210"/>
  <c r="N68" i="210"/>
  <c r="M113" i="209"/>
  <c r="K113" i="209"/>
  <c r="N113" i="209"/>
  <c r="L113" i="209"/>
  <c r="J113" i="209"/>
  <c r="M57" i="209"/>
  <c r="J57" i="209"/>
  <c r="L57" i="209"/>
  <c r="N57" i="209"/>
  <c r="K57" i="209"/>
  <c r="N16" i="209"/>
  <c r="J16" i="209"/>
  <c r="M16" i="209"/>
  <c r="K16" i="209"/>
  <c r="L16" i="209"/>
  <c r="M188" i="210"/>
  <c r="K188" i="210"/>
  <c r="J188" i="210"/>
  <c r="N188" i="210"/>
  <c r="L188" i="210"/>
  <c r="M59" i="210"/>
  <c r="N59" i="210"/>
  <c r="J59" i="210"/>
  <c r="K59" i="210"/>
  <c r="L59" i="210"/>
  <c r="M94" i="210"/>
  <c r="J94" i="210"/>
  <c r="K94" i="210"/>
  <c r="L94" i="210"/>
  <c r="N94" i="210"/>
  <c r="J24" i="209"/>
  <c r="M24" i="209"/>
  <c r="N24" i="209"/>
  <c r="K24" i="209"/>
  <c r="L24" i="209"/>
  <c r="L51" i="210"/>
  <c r="M51" i="210"/>
  <c r="N51" i="210"/>
  <c r="M105" i="210"/>
  <c r="N105" i="210"/>
  <c r="L105" i="210"/>
  <c r="K105" i="210"/>
  <c r="J105" i="210"/>
  <c r="N27" i="210"/>
  <c r="K27" i="210"/>
  <c r="L27" i="210"/>
  <c r="M27" i="210"/>
  <c r="J27" i="210"/>
  <c r="J169" i="210"/>
  <c r="L169" i="210"/>
  <c r="K169" i="210"/>
  <c r="N169" i="210"/>
  <c r="M169" i="210"/>
  <c r="M92" i="210"/>
  <c r="N92" i="210"/>
  <c r="J92" i="210"/>
  <c r="K92" i="210"/>
  <c r="L92" i="210"/>
  <c r="J65" i="210"/>
  <c r="K65" i="210"/>
  <c r="L65" i="210"/>
  <c r="N65" i="210"/>
  <c r="M65" i="210"/>
  <c r="J22" i="210"/>
  <c r="K22" i="210"/>
  <c r="L22" i="210"/>
  <c r="M22" i="210"/>
  <c r="N22" i="210"/>
  <c r="K63" i="210"/>
  <c r="L63" i="210"/>
  <c r="M63" i="210"/>
  <c r="N63" i="210"/>
  <c r="J63" i="210"/>
  <c r="N89" i="210"/>
  <c r="J89" i="210"/>
  <c r="K89" i="210"/>
  <c r="M89" i="210"/>
  <c r="L89" i="210"/>
  <c r="J28" i="210"/>
  <c r="M28" i="210"/>
  <c r="K28" i="210"/>
  <c r="N28" i="210"/>
  <c r="L28" i="210"/>
  <c r="M81" i="210"/>
  <c r="N81" i="210"/>
  <c r="J81" i="210"/>
  <c r="K81" i="210"/>
  <c r="L81" i="210"/>
  <c r="N107" i="209"/>
  <c r="K107" i="209"/>
  <c r="J107" i="209"/>
  <c r="M107" i="209"/>
  <c r="L107" i="209"/>
  <c r="L170" i="210"/>
  <c r="N170" i="210"/>
  <c r="M170" i="210"/>
  <c r="K170" i="210"/>
  <c r="J170" i="210"/>
  <c r="J195" i="210"/>
  <c r="M195" i="210"/>
  <c r="N195" i="210"/>
  <c r="L195" i="210"/>
  <c r="K195" i="210"/>
  <c r="L115" i="210"/>
  <c r="M115" i="210"/>
  <c r="K115" i="210"/>
  <c r="J115" i="210"/>
  <c r="N115" i="210"/>
  <c r="M21" i="209"/>
  <c r="N21" i="209"/>
  <c r="K21" i="209"/>
  <c r="J21" i="209"/>
  <c r="L21" i="209"/>
  <c r="L37" i="210"/>
  <c r="N37" i="210"/>
  <c r="J37" i="210"/>
  <c r="K37" i="210"/>
  <c r="M37" i="210"/>
  <c r="J78" i="210"/>
  <c r="K78" i="210"/>
  <c r="L78" i="210"/>
  <c r="M78" i="210"/>
  <c r="N78" i="210"/>
  <c r="L151" i="209"/>
  <c r="M151" i="209"/>
  <c r="N151" i="209"/>
  <c r="K151" i="209"/>
  <c r="J151" i="209"/>
  <c r="J145" i="209"/>
  <c r="N145" i="209"/>
  <c r="M145" i="209"/>
  <c r="K145" i="209"/>
  <c r="L145" i="209"/>
  <c r="N62" i="210"/>
  <c r="J62" i="210"/>
  <c r="K62" i="210"/>
  <c r="M62" i="210"/>
  <c r="L62" i="210"/>
  <c r="L96" i="210"/>
  <c r="N96" i="210"/>
  <c r="K96" i="210"/>
  <c r="M96" i="210"/>
  <c r="J96" i="210"/>
  <c r="K194" i="210"/>
  <c r="J194" i="210"/>
  <c r="N194" i="210"/>
  <c r="M194" i="210"/>
  <c r="L194" i="210"/>
  <c r="M168" i="209"/>
  <c r="N168" i="209"/>
  <c r="J168" i="209"/>
  <c r="L168" i="209"/>
  <c r="K168" i="209"/>
  <c r="J57" i="210"/>
  <c r="K57" i="210"/>
  <c r="L57" i="210"/>
  <c r="M57" i="210"/>
  <c r="N57" i="210"/>
  <c r="L165" i="210"/>
  <c r="M165" i="210"/>
  <c r="K165" i="210"/>
  <c r="J165" i="210"/>
  <c r="N165" i="210"/>
  <c r="L191" i="210"/>
  <c r="M191" i="210"/>
  <c r="K191" i="210"/>
  <c r="N191" i="210"/>
  <c r="J191" i="210"/>
  <c r="J88" i="210"/>
  <c r="L88" i="210"/>
  <c r="K88" i="210"/>
  <c r="M88" i="210"/>
  <c r="N88" i="210"/>
  <c r="J162" i="209"/>
  <c r="K162" i="209"/>
  <c r="L162" i="209"/>
  <c r="N162" i="209"/>
  <c r="M162" i="209"/>
  <c r="J192" i="209"/>
  <c r="K192" i="209"/>
  <c r="L192" i="209"/>
  <c r="M192" i="209"/>
  <c r="N192" i="209"/>
  <c r="K93" i="209"/>
  <c r="L93" i="209"/>
  <c r="M93" i="209"/>
  <c r="J93" i="209"/>
  <c r="N93" i="209"/>
  <c r="N59" i="209"/>
  <c r="L59" i="209"/>
  <c r="M59" i="209"/>
  <c r="J59" i="209"/>
  <c r="K59" i="209"/>
  <c r="K42" i="210"/>
  <c r="N42" i="210"/>
  <c r="M42" i="210"/>
  <c r="J42" i="210"/>
  <c r="L42" i="210"/>
  <c r="J167" i="210"/>
  <c r="N167" i="210"/>
  <c r="K167" i="210"/>
  <c r="M167" i="210"/>
  <c r="L167" i="210"/>
  <c r="J108" i="209"/>
  <c r="L108" i="209"/>
  <c r="K108" i="209"/>
  <c r="N108" i="209"/>
  <c r="M108" i="209"/>
  <c r="J33" i="210"/>
  <c r="M33" i="210"/>
  <c r="K33" i="210"/>
  <c r="N33" i="210"/>
  <c r="L33" i="210"/>
  <c r="K79" i="210"/>
  <c r="L79" i="210"/>
  <c r="M79" i="210"/>
  <c r="J79" i="210"/>
  <c r="N79" i="210"/>
  <c r="M164" i="209"/>
  <c r="N164" i="209"/>
  <c r="J164" i="209"/>
  <c r="L164" i="209"/>
  <c r="K164" i="209"/>
  <c r="N180" i="209"/>
  <c r="J180" i="209"/>
  <c r="K180" i="209"/>
  <c r="M180" i="209"/>
  <c r="L180" i="209"/>
  <c r="N66" i="210"/>
  <c r="K66" i="210"/>
  <c r="J66" i="210"/>
  <c r="M66" i="210"/>
  <c r="L66" i="210"/>
  <c r="M163" i="210"/>
  <c r="K163" i="210"/>
  <c r="L163" i="210"/>
  <c r="N163" i="210"/>
  <c r="J163" i="210"/>
  <c r="M22" i="209"/>
  <c r="J22" i="209"/>
  <c r="K22" i="209"/>
  <c r="N22" i="209"/>
  <c r="L22" i="209"/>
  <c r="L95" i="209"/>
  <c r="J95" i="209"/>
  <c r="M95" i="209"/>
  <c r="N95" i="209"/>
  <c r="K95" i="209"/>
  <c r="M101" i="210"/>
  <c r="N101" i="210"/>
  <c r="K101" i="210"/>
  <c r="L101" i="210"/>
  <c r="J101" i="210"/>
  <c r="M21" i="210"/>
  <c r="L21" i="210"/>
  <c r="N21" i="210"/>
  <c r="K21" i="210"/>
  <c r="J21" i="210"/>
  <c r="M19" i="210"/>
  <c r="N19" i="210"/>
  <c r="K19" i="210"/>
  <c r="J78" i="209"/>
  <c r="L78" i="209"/>
  <c r="M78" i="209"/>
  <c r="K78" i="209"/>
  <c r="N78" i="209"/>
  <c r="N133" i="209"/>
  <c r="J133" i="209"/>
  <c r="K133" i="209"/>
  <c r="M133" i="209"/>
  <c r="L133" i="209"/>
  <c r="L172" i="210"/>
  <c r="K172" i="210"/>
  <c r="M172" i="210"/>
  <c r="N172" i="210"/>
  <c r="J172" i="210"/>
  <c r="K17" i="210"/>
  <c r="L17" i="210"/>
  <c r="J17" i="210"/>
  <c r="M17" i="210"/>
  <c r="N17" i="210"/>
  <c r="M14" i="210"/>
  <c r="J14" i="210"/>
  <c r="N14" i="210"/>
  <c r="L14" i="210"/>
  <c r="K14" i="210"/>
  <c r="J169" i="209"/>
  <c r="K169" i="209"/>
  <c r="L169" i="209"/>
  <c r="N169" i="209"/>
  <c r="M169" i="209"/>
  <c r="M69" i="210"/>
  <c r="N69" i="210"/>
  <c r="J69" i="210"/>
  <c r="L69" i="210"/>
  <c r="K69" i="210"/>
  <c r="N166" i="210"/>
  <c r="M166" i="210"/>
  <c r="K166" i="210"/>
  <c r="J166" i="210"/>
  <c r="L166" i="210"/>
  <c r="N192" i="210"/>
  <c r="K192" i="210"/>
  <c r="J192" i="210"/>
  <c r="L192" i="210"/>
  <c r="M192" i="210"/>
  <c r="J87" i="210"/>
  <c r="K87" i="210"/>
  <c r="L87" i="210"/>
  <c r="M87" i="210"/>
  <c r="N87" i="210"/>
  <c r="N60" i="210"/>
  <c r="J60" i="210"/>
  <c r="K60" i="210"/>
  <c r="L60" i="210"/>
  <c r="M60" i="210"/>
  <c r="J119" i="209"/>
  <c r="M119" i="209"/>
  <c r="N119" i="209"/>
  <c r="L119" i="209"/>
  <c r="K119" i="209"/>
  <c r="L41" i="209"/>
  <c r="M41" i="209"/>
  <c r="K41" i="209"/>
  <c r="J41" i="209"/>
  <c r="N41" i="209"/>
  <c r="N163" i="209"/>
  <c r="J163" i="209"/>
  <c r="K163" i="209"/>
  <c r="M163" i="209"/>
  <c r="L163" i="209"/>
  <c r="L193" i="210"/>
  <c r="M193" i="210"/>
  <c r="K193" i="210"/>
  <c r="N193" i="210"/>
  <c r="J193" i="210"/>
  <c r="L102" i="210"/>
  <c r="M102" i="210"/>
  <c r="N102" i="210"/>
  <c r="J102" i="210"/>
  <c r="K102" i="210"/>
  <c r="N32" i="209"/>
  <c r="L32" i="209"/>
  <c r="M32" i="209"/>
  <c r="J32" i="209"/>
  <c r="K32" i="209"/>
  <c r="L84" i="209"/>
  <c r="M84" i="209"/>
  <c r="K84" i="209"/>
  <c r="N84" i="209"/>
  <c r="J84" i="209"/>
  <c r="M168" i="210"/>
  <c r="N168" i="210"/>
  <c r="L168" i="210"/>
  <c r="J168" i="210"/>
  <c r="K168" i="210"/>
  <c r="J82" i="209"/>
  <c r="K82" i="209"/>
  <c r="M82" i="209"/>
  <c r="N82" i="209"/>
  <c r="L82" i="209"/>
  <c r="M122" i="210"/>
  <c r="N122" i="210"/>
  <c r="J122" i="210"/>
  <c r="K122" i="210"/>
  <c r="L122" i="210"/>
  <c r="J173" i="209"/>
  <c r="K173" i="209"/>
  <c r="L173" i="209"/>
  <c r="M173" i="209"/>
  <c r="N173" i="209"/>
  <c r="K90" i="209"/>
  <c r="L90" i="209"/>
  <c r="N90" i="209"/>
  <c r="J90" i="209"/>
  <c r="M90" i="209"/>
  <c r="N55" i="209"/>
  <c r="L55" i="209"/>
  <c r="M55" i="209"/>
  <c r="J55" i="209"/>
  <c r="K55" i="209"/>
  <c r="L62" i="209"/>
  <c r="N62" i="209"/>
  <c r="J62" i="209"/>
  <c r="K62" i="209"/>
  <c r="M62" i="209"/>
  <c r="L27" i="209"/>
  <c r="K27" i="209"/>
  <c r="J27" i="209"/>
  <c r="N27" i="209"/>
  <c r="M27" i="209"/>
  <c r="N86" i="209"/>
  <c r="M86" i="209"/>
  <c r="K86" i="209"/>
  <c r="J86" i="209"/>
  <c r="L86" i="209"/>
  <c r="J174" i="209"/>
  <c r="L174" i="209"/>
  <c r="M174" i="209"/>
  <c r="K174" i="209"/>
  <c r="N174" i="209"/>
  <c r="J105" i="209"/>
  <c r="K105" i="209"/>
  <c r="L105" i="209"/>
  <c r="N105" i="209"/>
  <c r="M105" i="209"/>
  <c r="M36" i="209"/>
  <c r="K36" i="209"/>
  <c r="J36" i="209"/>
  <c r="N36" i="209"/>
  <c r="L36" i="209"/>
  <c r="L31" i="209"/>
  <c r="N31" i="209"/>
  <c r="M31" i="209"/>
  <c r="J31" i="209"/>
  <c r="K31" i="209"/>
  <c r="N157" i="210"/>
  <c r="M157" i="210"/>
  <c r="K157" i="210"/>
  <c r="L157" i="210"/>
  <c r="J157" i="210"/>
  <c r="J177" i="210"/>
  <c r="M177" i="210"/>
  <c r="L177" i="210"/>
  <c r="K177" i="210"/>
  <c r="N177" i="210"/>
  <c r="J124" i="210"/>
  <c r="K124" i="210"/>
  <c r="L124" i="210"/>
  <c r="N124" i="210"/>
  <c r="M124" i="210"/>
  <c r="M55" i="210"/>
  <c r="N55" i="210"/>
  <c r="J55" i="210"/>
  <c r="L55" i="210"/>
  <c r="K55" i="210"/>
  <c r="J13" i="210"/>
  <c r="N13" i="210"/>
  <c r="M13" i="210"/>
  <c r="K13" i="210"/>
  <c r="L13" i="210"/>
  <c r="J30" i="210"/>
  <c r="N30" i="210"/>
  <c r="K30" i="210"/>
  <c r="L30" i="210"/>
  <c r="M30" i="210"/>
  <c r="L53" i="209"/>
  <c r="J53" i="209"/>
  <c r="K53" i="209"/>
  <c r="M53" i="209"/>
  <c r="N53" i="209"/>
  <c r="K69" i="209"/>
  <c r="J69" i="209"/>
  <c r="N69" i="209"/>
  <c r="L69" i="209"/>
  <c r="M69" i="209"/>
  <c r="N10" i="210"/>
  <c r="M10" i="210"/>
  <c r="K10" i="210"/>
  <c r="J10" i="210"/>
  <c r="L10" i="210"/>
  <c r="N51" i="209"/>
  <c r="L51" i="209"/>
  <c r="M51" i="209"/>
  <c r="N65" i="209"/>
  <c r="K65" i="209"/>
  <c r="J65" i="209"/>
  <c r="M65" i="209"/>
  <c r="L65" i="209"/>
  <c r="J178" i="210"/>
  <c r="M178" i="210"/>
  <c r="N178" i="210"/>
  <c r="L178" i="210"/>
  <c r="K178" i="210"/>
  <c r="J99" i="210"/>
  <c r="M99" i="210"/>
  <c r="N99" i="210"/>
  <c r="L99" i="210"/>
  <c r="K99" i="210"/>
  <c r="N11" i="210"/>
  <c r="M11" i="210"/>
  <c r="K32" i="210"/>
  <c r="J32" i="210"/>
  <c r="L32" i="210"/>
  <c r="N32" i="210"/>
  <c r="M32" i="210"/>
  <c r="J159" i="209"/>
  <c r="L159" i="209"/>
  <c r="M159" i="209"/>
  <c r="K159" i="209"/>
  <c r="N159" i="209"/>
  <c r="N19" i="209"/>
  <c r="M19" i="209"/>
  <c r="K19" i="209"/>
  <c r="J117" i="210"/>
  <c r="N117" i="210"/>
  <c r="M117" i="210"/>
  <c r="L117" i="210"/>
  <c r="K117" i="210"/>
  <c r="J180" i="210"/>
  <c r="N180" i="210"/>
  <c r="K180" i="210"/>
  <c r="M180" i="210"/>
  <c r="L180" i="210"/>
  <c r="L17" i="209"/>
  <c r="M17" i="209"/>
  <c r="N17" i="209"/>
  <c r="K17" i="209"/>
  <c r="J17" i="209"/>
  <c r="J14" i="209"/>
  <c r="L14" i="209"/>
  <c r="M14" i="209"/>
  <c r="N14" i="209"/>
  <c r="K14" i="209"/>
  <c r="J173" i="210"/>
  <c r="N173" i="210"/>
  <c r="L173" i="210"/>
  <c r="M173" i="210"/>
  <c r="K173" i="210"/>
  <c r="N68" i="209"/>
  <c r="M68" i="209"/>
  <c r="J68" i="209"/>
  <c r="K68" i="209"/>
  <c r="L68" i="209"/>
  <c r="L170" i="209"/>
  <c r="M170" i="209"/>
  <c r="N170" i="209"/>
  <c r="K170" i="209"/>
  <c r="J170" i="209"/>
  <c r="J135" i="209"/>
  <c r="K135" i="209"/>
  <c r="M135" i="209"/>
  <c r="L135" i="209"/>
  <c r="N135" i="209"/>
  <c r="K85" i="209"/>
  <c r="J85" i="209"/>
  <c r="L85" i="209"/>
  <c r="N85" i="209"/>
  <c r="M85" i="209"/>
  <c r="J120" i="209"/>
  <c r="L120" i="209"/>
  <c r="N120" i="209"/>
  <c r="K120" i="209"/>
  <c r="M120" i="209"/>
  <c r="L50" i="209"/>
  <c r="N50" i="209"/>
  <c r="K50" i="209"/>
  <c r="M50" i="209"/>
  <c r="J50" i="209"/>
  <c r="J34" i="210"/>
  <c r="L34" i="210"/>
  <c r="N34" i="210"/>
  <c r="M34" i="210"/>
  <c r="K34" i="210"/>
  <c r="J175" i="210"/>
  <c r="M175" i="210"/>
  <c r="L175" i="210"/>
  <c r="N175" i="210"/>
  <c r="K175" i="210"/>
  <c r="L92" i="209"/>
  <c r="N92" i="209"/>
  <c r="K92" i="209"/>
  <c r="M92" i="209"/>
  <c r="J92" i="209"/>
  <c r="M15" i="209"/>
  <c r="J15" i="209"/>
  <c r="N15" i="209"/>
  <c r="L15" i="209"/>
  <c r="K15" i="209"/>
  <c r="K66" i="209"/>
  <c r="L66" i="209"/>
  <c r="M66" i="209"/>
  <c r="N66" i="209"/>
  <c r="J66" i="209"/>
  <c r="M172" i="209"/>
  <c r="L172" i="209"/>
  <c r="N172" i="209"/>
  <c r="K172" i="209"/>
  <c r="J172" i="209"/>
  <c r="L141" i="209" l="1"/>
  <c r="G32" i="208" s="1"/>
  <c r="K57" i="139"/>
  <c r="L57" i="139"/>
  <c r="J57" i="139"/>
  <c r="N57" i="139"/>
  <c r="M57" i="139"/>
  <c r="L38" i="139"/>
  <c r="K38" i="139"/>
  <c r="M38" i="139"/>
  <c r="J38" i="139"/>
  <c r="N38" i="139"/>
  <c r="N132" i="210"/>
  <c r="I33" i="208" s="1"/>
  <c r="L234" i="139"/>
  <c r="J234" i="139"/>
  <c r="M234" i="139"/>
  <c r="N234" i="139"/>
  <c r="K234" i="139"/>
  <c r="M46" i="210"/>
  <c r="H20" i="208" s="1"/>
  <c r="L206" i="210"/>
  <c r="G45" i="208" s="1"/>
  <c r="K204" i="209"/>
  <c r="F44" i="208" s="1"/>
  <c r="K132" i="210"/>
  <c r="F33" i="208" s="1"/>
  <c r="N65" i="139"/>
  <c r="K65" i="139"/>
  <c r="M65" i="139"/>
  <c r="J65" i="139"/>
  <c r="L65" i="139"/>
  <c r="L204" i="209"/>
  <c r="G44" i="208" s="1"/>
  <c r="K233" i="139"/>
  <c r="M233" i="139"/>
  <c r="N233" i="139"/>
  <c r="J233" i="139"/>
  <c r="L233" i="139"/>
  <c r="N46" i="210"/>
  <c r="I20" i="208" s="1"/>
  <c r="M206" i="210"/>
  <c r="H45" i="208" s="1"/>
  <c r="M204" i="209"/>
  <c r="H44" i="208" s="1"/>
  <c r="M44" i="139"/>
  <c r="J44" i="139"/>
  <c r="N44" i="139"/>
  <c r="L44" i="139"/>
  <c r="K44" i="139"/>
  <c r="J206" i="210"/>
  <c r="J141" i="209"/>
  <c r="N206" i="210"/>
  <c r="I45" i="208" s="1"/>
  <c r="N204" i="209"/>
  <c r="I44" i="208" s="1"/>
  <c r="M141" i="209"/>
  <c r="H32" i="208" s="1"/>
  <c r="K206" i="210"/>
  <c r="F45" i="208" s="1"/>
  <c r="J204" i="209"/>
  <c r="L46" i="209"/>
  <c r="G19" i="208" s="1"/>
  <c r="N182" i="139"/>
  <c r="M182" i="139"/>
  <c r="J182" i="139"/>
  <c r="L182" i="139"/>
  <c r="K182" i="139"/>
  <c r="L132" i="210"/>
  <c r="G33" i="208" s="1"/>
  <c r="K141" i="209"/>
  <c r="F32" i="208" s="1"/>
  <c r="J132" i="210"/>
  <c r="N46" i="209"/>
  <c r="I19" i="208" s="1"/>
  <c r="N49" i="139"/>
  <c r="L49" i="139"/>
  <c r="K49" i="139"/>
  <c r="J49" i="139"/>
  <c r="M49" i="139"/>
  <c r="L232" i="139"/>
  <c r="K232" i="139"/>
  <c r="J232" i="139"/>
  <c r="N232" i="139"/>
  <c r="M232" i="139"/>
  <c r="N141" i="209"/>
  <c r="I32" i="208" s="1"/>
  <c r="L46" i="210"/>
  <c r="G20" i="208" s="1"/>
  <c r="M132" i="210"/>
  <c r="H33" i="208" s="1"/>
  <c r="M46" i="209"/>
  <c r="H19" i="208" s="1"/>
  <c r="H22" i="208" l="1"/>
  <c r="H23" i="208" s="1"/>
  <c r="H25" i="208" s="1"/>
  <c r="H27" i="208" s="1"/>
  <c r="G35" i="208"/>
  <c r="G36" i="208" s="1"/>
  <c r="G38" i="208" s="1"/>
  <c r="F35" i="208"/>
  <c r="F36" i="208" s="1"/>
  <c r="F38" i="208" s="1"/>
  <c r="I35" i="208"/>
  <c r="I36" i="208" s="1"/>
  <c r="I38" i="208" s="1"/>
  <c r="H35" i="208"/>
  <c r="H36" i="208" s="1"/>
  <c r="H38" i="208" s="1"/>
  <c r="I47" i="208"/>
  <c r="I48" i="208" s="1"/>
  <c r="I50" i="208" s="1"/>
  <c r="I52" i="208" s="1"/>
  <c r="G22" i="208"/>
  <c r="G23" i="208" s="1"/>
  <c r="G25" i="208" s="1"/>
  <c r="G27" i="208" s="1"/>
  <c r="K194" i="139"/>
  <c r="L194" i="139"/>
  <c r="N194" i="139"/>
  <c r="J194" i="139"/>
  <c r="M194" i="139"/>
  <c r="L42" i="139"/>
  <c r="K42" i="139"/>
  <c r="J42" i="139"/>
  <c r="M42" i="139"/>
  <c r="N42" i="139"/>
  <c r="M152" i="139"/>
  <c r="L152" i="139"/>
  <c r="K152" i="139"/>
  <c r="N152" i="139"/>
  <c r="J152" i="139"/>
  <c r="L205" i="139"/>
  <c r="M205" i="139"/>
  <c r="J205" i="139"/>
  <c r="N205" i="139"/>
  <c r="K205" i="139"/>
  <c r="K45" i="139"/>
  <c r="J45" i="139"/>
  <c r="M45" i="139"/>
  <c r="L45" i="139"/>
  <c r="N45" i="139"/>
  <c r="J43" i="139"/>
  <c r="M43" i="139"/>
  <c r="N43" i="139"/>
  <c r="K43" i="139"/>
  <c r="L43" i="139"/>
  <c r="N197" i="139"/>
  <c r="M197" i="139"/>
  <c r="L197" i="139"/>
  <c r="K197" i="139"/>
  <c r="J197" i="139"/>
  <c r="J186" i="139"/>
  <c r="L186" i="139"/>
  <c r="M186" i="139"/>
  <c r="K186" i="139"/>
  <c r="N186" i="139"/>
  <c r="M188" i="139"/>
  <c r="K188" i="139"/>
  <c r="N188" i="139"/>
  <c r="L188" i="139"/>
  <c r="J188" i="139"/>
  <c r="N46" i="139"/>
  <c r="J46" i="139"/>
  <c r="M46" i="139"/>
  <c r="K46" i="139"/>
  <c r="L46" i="139"/>
  <c r="N192" i="139"/>
  <c r="M192" i="139"/>
  <c r="L192" i="139"/>
  <c r="K192" i="139"/>
  <c r="J192" i="139"/>
  <c r="K51" i="139"/>
  <c r="J51" i="139"/>
  <c r="N51" i="139"/>
  <c r="M51" i="139"/>
  <c r="L51" i="139"/>
  <c r="E44" i="208"/>
  <c r="P204" i="209"/>
  <c r="J33" i="139"/>
  <c r="L33" i="139"/>
  <c r="K33" i="139"/>
  <c r="N33" i="139"/>
  <c r="M33" i="139"/>
  <c r="N61" i="139"/>
  <c r="K61" i="139"/>
  <c r="J61" i="139"/>
  <c r="M61" i="139"/>
  <c r="L61" i="139"/>
  <c r="H47" i="208"/>
  <c r="H48" i="208" s="1"/>
  <c r="H50" i="208" s="1"/>
  <c r="H52" i="208" s="1"/>
  <c r="L172" i="139"/>
  <c r="J172" i="139"/>
  <c r="N172" i="139"/>
  <c r="K172" i="139"/>
  <c r="M172" i="139"/>
  <c r="K54" i="139"/>
  <c r="L54" i="139"/>
  <c r="M54" i="139"/>
  <c r="J54" i="139"/>
  <c r="N54" i="139"/>
  <c r="J66" i="139"/>
  <c r="K66" i="139"/>
  <c r="M66" i="139"/>
  <c r="N66" i="139"/>
  <c r="L66" i="139"/>
  <c r="K181" i="139"/>
  <c r="L181" i="139"/>
  <c r="M181" i="139"/>
  <c r="N181" i="139"/>
  <c r="J181" i="139"/>
  <c r="M60" i="139"/>
  <c r="K60" i="139"/>
  <c r="L60" i="139"/>
  <c r="N60" i="139"/>
  <c r="J60" i="139"/>
  <c r="E32" i="208"/>
  <c r="P141" i="209"/>
  <c r="N64" i="139"/>
  <c r="J64" i="139"/>
  <c r="L64" i="139"/>
  <c r="M64" i="139"/>
  <c r="K64" i="139"/>
  <c r="K36" i="139"/>
  <c r="N36" i="139"/>
  <c r="M36" i="139"/>
  <c r="L36" i="139"/>
  <c r="L154" i="139"/>
  <c r="K154" i="139"/>
  <c r="J154" i="139"/>
  <c r="M154" i="139"/>
  <c r="N154" i="139"/>
  <c r="M40" i="139"/>
  <c r="J40" i="139"/>
  <c r="N40" i="139"/>
  <c r="K40" i="139"/>
  <c r="L40" i="139"/>
  <c r="M68" i="139"/>
  <c r="N68" i="139"/>
  <c r="L68" i="139"/>
  <c r="J68" i="139"/>
  <c r="K68" i="139"/>
  <c r="J171" i="139"/>
  <c r="K171" i="139"/>
  <c r="N171" i="139"/>
  <c r="M171" i="139"/>
  <c r="L171" i="139"/>
  <c r="K193" i="139"/>
  <c r="J193" i="139"/>
  <c r="N193" i="139"/>
  <c r="L193" i="139"/>
  <c r="M193" i="139"/>
  <c r="K53" i="139"/>
  <c r="N53" i="139"/>
  <c r="M53" i="139"/>
  <c r="L53" i="139"/>
  <c r="J53" i="139"/>
  <c r="N37" i="139"/>
  <c r="M37" i="139"/>
  <c r="L37" i="139"/>
  <c r="J37" i="139"/>
  <c r="K37" i="139"/>
  <c r="N39" i="139"/>
  <c r="K39" i="139"/>
  <c r="M39" i="139"/>
  <c r="J39" i="139"/>
  <c r="L39" i="139"/>
  <c r="K204" i="139"/>
  <c r="J204" i="139"/>
  <c r="L204" i="139"/>
  <c r="N204" i="139"/>
  <c r="M204" i="139"/>
  <c r="M59" i="139"/>
  <c r="L59" i="139"/>
  <c r="J59" i="139"/>
  <c r="N59" i="139"/>
  <c r="K59" i="139"/>
  <c r="J34" i="139"/>
  <c r="N34" i="139"/>
  <c r="M34" i="139"/>
  <c r="K34" i="139"/>
  <c r="L34" i="139"/>
  <c r="M207" i="139"/>
  <c r="K207" i="139"/>
  <c r="J207" i="139"/>
  <c r="N207" i="139"/>
  <c r="L207" i="139"/>
  <c r="L189" i="139"/>
  <c r="K189" i="139"/>
  <c r="M189" i="139"/>
  <c r="J189" i="139"/>
  <c r="N189" i="139"/>
  <c r="K62" i="139"/>
  <c r="N62" i="139"/>
  <c r="J62" i="139"/>
  <c r="L62" i="139"/>
  <c r="M62" i="139"/>
  <c r="F47" i="208"/>
  <c r="F48" i="208" s="1"/>
  <c r="F50" i="208" s="1"/>
  <c r="F52" i="208" s="1"/>
  <c r="M173" i="139"/>
  <c r="J173" i="139"/>
  <c r="K173" i="139"/>
  <c r="N173" i="139"/>
  <c r="L173" i="139"/>
  <c r="L47" i="139"/>
  <c r="K47" i="139"/>
  <c r="N47" i="139"/>
  <c r="J47" i="139"/>
  <c r="M47" i="139"/>
  <c r="M67" i="139"/>
  <c r="L67" i="139"/>
  <c r="K67" i="139"/>
  <c r="N67" i="139"/>
  <c r="J67" i="139"/>
  <c r="J198" i="139"/>
  <c r="M198" i="139"/>
  <c r="L198" i="139"/>
  <c r="K198" i="139"/>
  <c r="N198" i="139"/>
  <c r="M41" i="139"/>
  <c r="K41" i="139"/>
  <c r="J41" i="139"/>
  <c r="L41" i="139"/>
  <c r="N41" i="139"/>
  <c r="M48" i="139"/>
  <c r="L48" i="139"/>
  <c r="J48" i="139"/>
  <c r="N48" i="139"/>
  <c r="K48" i="139"/>
  <c r="J55" i="139"/>
  <c r="K55" i="139"/>
  <c r="M55" i="139"/>
  <c r="L55" i="139"/>
  <c r="N55" i="139"/>
  <c r="N195" i="139"/>
  <c r="K195" i="139"/>
  <c r="L195" i="139"/>
  <c r="J195" i="139"/>
  <c r="M195" i="139"/>
  <c r="N190" i="139"/>
  <c r="K190" i="139"/>
  <c r="J190" i="139"/>
  <c r="L190" i="139"/>
  <c r="M190" i="139"/>
  <c r="N153" i="139"/>
  <c r="L153" i="139"/>
  <c r="J153" i="139"/>
  <c r="M153" i="139"/>
  <c r="K153" i="139"/>
  <c r="M50" i="139"/>
  <c r="J50" i="139"/>
  <c r="N50" i="139"/>
  <c r="L50" i="139"/>
  <c r="K50" i="139"/>
  <c r="I22" i="208"/>
  <c r="I23" i="208" s="1"/>
  <c r="I25" i="208" s="1"/>
  <c r="I27" i="208" s="1"/>
  <c r="L56" i="139"/>
  <c r="K56" i="139"/>
  <c r="N56" i="139"/>
  <c r="J56" i="139"/>
  <c r="M56" i="139"/>
  <c r="L170" i="139"/>
  <c r="J170" i="139"/>
  <c r="M170" i="139"/>
  <c r="K170" i="139"/>
  <c r="N170" i="139"/>
  <c r="L63" i="139"/>
  <c r="K63" i="139"/>
  <c r="J63" i="139"/>
  <c r="M63" i="139"/>
  <c r="N63" i="139"/>
  <c r="P206" i="210"/>
  <c r="E45" i="208"/>
  <c r="G47" i="208"/>
  <c r="G48" i="208" s="1"/>
  <c r="G50" i="208" s="1"/>
  <c r="G52" i="208" s="1"/>
  <c r="N196" i="139"/>
  <c r="K196" i="139"/>
  <c r="J196" i="139"/>
  <c r="M196" i="139"/>
  <c r="L196" i="139"/>
  <c r="M191" i="139"/>
  <c r="K191" i="139"/>
  <c r="N191" i="139"/>
  <c r="L191" i="139"/>
  <c r="J191" i="139"/>
  <c r="L183" i="139"/>
  <c r="J183" i="139"/>
  <c r="N183" i="139"/>
  <c r="K183" i="139"/>
  <c r="M183" i="139"/>
  <c r="E33" i="208"/>
  <c r="P132" i="210"/>
  <c r="L187" i="139"/>
  <c r="N187" i="139"/>
  <c r="K187" i="139"/>
  <c r="J187" i="139"/>
  <c r="M187" i="139"/>
  <c r="J52" i="139"/>
  <c r="K52" i="139"/>
  <c r="M52" i="139"/>
  <c r="N52" i="139"/>
  <c r="L52" i="139"/>
  <c r="K35" i="139"/>
  <c r="M35" i="139"/>
  <c r="J35" i="139"/>
  <c r="N35" i="139"/>
  <c r="L35" i="139"/>
  <c r="J214" i="139"/>
  <c r="L214" i="139"/>
  <c r="M214" i="139"/>
  <c r="K214" i="139"/>
  <c r="N214" i="139"/>
  <c r="J208" i="139"/>
  <c r="K208" i="139"/>
  <c r="L208" i="139"/>
  <c r="N208" i="139"/>
  <c r="M208" i="139"/>
  <c r="J38" i="208" l="1"/>
  <c r="L89" i="204" s="1"/>
  <c r="N23" i="139"/>
  <c r="M23" i="139"/>
  <c r="L23" i="139"/>
  <c r="K23" i="139"/>
  <c r="J23" i="139"/>
  <c r="N148" i="139"/>
  <c r="I32" i="89" s="1"/>
  <c r="I35" i="89" s="1"/>
  <c r="I36" i="89" s="1"/>
  <c r="I38" i="89" s="1"/>
  <c r="M237" i="139"/>
  <c r="H44" i="89" s="1"/>
  <c r="H47" i="89" s="1"/>
  <c r="H48" i="89" s="1"/>
  <c r="H50" i="89" s="1"/>
  <c r="H52" i="89" s="1"/>
  <c r="M148" i="139"/>
  <c r="H32" i="89" s="1"/>
  <c r="H35" i="89" s="1"/>
  <c r="H36" i="89" s="1"/>
  <c r="H38" i="89" s="1"/>
  <c r="K148" i="139"/>
  <c r="F32" i="89" s="1"/>
  <c r="F35" i="89" s="1"/>
  <c r="F36" i="89" s="1"/>
  <c r="F38" i="89" s="1"/>
  <c r="L148" i="139"/>
  <c r="G32" i="89" s="1"/>
  <c r="G35" i="89" s="1"/>
  <c r="G36" i="89" s="1"/>
  <c r="G38" i="89" s="1"/>
  <c r="E47" i="208"/>
  <c r="E48" i="208" s="1"/>
  <c r="E50" i="208" s="1"/>
  <c r="E52" i="208" s="1"/>
  <c r="K14" i="139"/>
  <c r="J14" i="139"/>
  <c r="N14" i="139"/>
  <c r="M14" i="139"/>
  <c r="L14" i="139"/>
  <c r="J52" i="208"/>
  <c r="L90" i="204" s="1"/>
  <c r="E35" i="208"/>
  <c r="E36" i="208" s="1"/>
  <c r="E38" i="208" s="1"/>
  <c r="J148" i="139"/>
  <c r="M26" i="139"/>
  <c r="K26" i="139"/>
  <c r="L26" i="139"/>
  <c r="J26" i="139"/>
  <c r="N26" i="139"/>
  <c r="K237" i="139"/>
  <c r="F44" i="89" s="1"/>
  <c r="F47" i="89" s="1"/>
  <c r="F48" i="89" s="1"/>
  <c r="F50" i="89" s="1"/>
  <c r="F52" i="89" s="1"/>
  <c r="M19" i="139"/>
  <c r="N19" i="139"/>
  <c r="K19" i="139"/>
  <c r="L237" i="139"/>
  <c r="G44" i="89" s="1"/>
  <c r="G47" i="89" s="1"/>
  <c r="G48" i="89" s="1"/>
  <c r="G50" i="89" s="1"/>
  <c r="G52" i="89" s="1"/>
  <c r="J237" i="139"/>
  <c r="N237" i="139"/>
  <c r="I44" i="89" s="1"/>
  <c r="I47" i="89" s="1"/>
  <c r="I48" i="89" s="1"/>
  <c r="I50" i="89" s="1"/>
  <c r="I52" i="89" s="1"/>
  <c r="J52" i="89" l="1"/>
  <c r="L90" i="86" s="1"/>
  <c r="E32" i="89"/>
  <c r="E35" i="89" s="1"/>
  <c r="E36" i="89" s="1"/>
  <c r="E38" i="89" s="1"/>
  <c r="O148" i="139"/>
  <c r="P148" i="139" s="1"/>
  <c r="J13" i="139"/>
  <c r="N13" i="139"/>
  <c r="K13" i="139"/>
  <c r="M13" i="139"/>
  <c r="L13" i="139"/>
  <c r="N21" i="139"/>
  <c r="L21" i="139"/>
  <c r="M21" i="139"/>
  <c r="J21" i="139"/>
  <c r="K21" i="139"/>
  <c r="N24" i="139"/>
  <c r="L24" i="139"/>
  <c r="M24" i="139"/>
  <c r="J24" i="139"/>
  <c r="K24" i="139"/>
  <c r="J17" i="139"/>
  <c r="K17" i="139"/>
  <c r="N17" i="139"/>
  <c r="L17" i="139"/>
  <c r="M17" i="139"/>
  <c r="J25" i="139"/>
  <c r="M25" i="139"/>
  <c r="L25" i="139"/>
  <c r="N25" i="139"/>
  <c r="K25" i="139"/>
  <c r="K12" i="139"/>
  <c r="L12" i="139"/>
  <c r="K18" i="139"/>
  <c r="J18" i="139"/>
  <c r="L18" i="139"/>
  <c r="N18" i="139"/>
  <c r="M18" i="139"/>
  <c r="K10" i="139"/>
  <c r="J10" i="139"/>
  <c r="N10" i="139"/>
  <c r="L10" i="139"/>
  <c r="M10" i="139"/>
  <c r="L15" i="139"/>
  <c r="M15" i="139"/>
  <c r="K15" i="139"/>
  <c r="J15" i="139"/>
  <c r="N15" i="139"/>
  <c r="K20" i="139"/>
  <c r="N20" i="139"/>
  <c r="L20" i="139"/>
  <c r="M20" i="139"/>
  <c r="J20" i="139"/>
  <c r="E44" i="89"/>
  <c r="E47" i="89" s="1"/>
  <c r="E48" i="89" s="1"/>
  <c r="E50" i="89" s="1"/>
  <c r="E52" i="89" s="1"/>
  <c r="O237" i="139"/>
  <c r="P237" i="139" s="1"/>
  <c r="N22" i="139"/>
  <c r="K22" i="139"/>
  <c r="M22" i="139"/>
  <c r="J22" i="139"/>
  <c r="L22" i="139"/>
  <c r="N16" i="139"/>
  <c r="M16" i="139"/>
  <c r="J16" i="139"/>
  <c r="L16" i="139"/>
  <c r="K16" i="139"/>
  <c r="J38" i="89"/>
  <c r="L89" i="86" s="1"/>
  <c r="L29" i="139" l="1"/>
  <c r="G19" i="89" s="1"/>
  <c r="G22" i="89" s="1"/>
  <c r="G23" i="89" s="1"/>
  <c r="G25" i="89" s="1"/>
  <c r="G27" i="89" s="1"/>
  <c r="N29" i="139"/>
  <c r="I19" i="89" s="1"/>
  <c r="I22" i="89" s="1"/>
  <c r="I23" i="89" s="1"/>
  <c r="I25" i="89" s="1"/>
  <c r="I27" i="89" s="1"/>
  <c r="M29" i="139"/>
  <c r="H19" i="89" s="1"/>
  <c r="H22" i="89" s="1"/>
  <c r="H23" i="89" s="1"/>
  <c r="H25" i="89" s="1"/>
  <c r="H27" i="89" s="1"/>
  <c r="E42" i="193" l="1"/>
  <c r="K11" i="90" s="1"/>
  <c r="E39" i="193"/>
  <c r="D38" i="193"/>
  <c r="D39" i="193" l="1"/>
  <c r="E46" i="193"/>
  <c r="K11" i="139" s="1"/>
  <c r="K31" i="90"/>
  <c r="F20" i="89" s="1"/>
  <c r="D42" i="193"/>
  <c r="E43" i="193"/>
  <c r="J11" i="90" l="1"/>
  <c r="J31" i="90" s="1"/>
  <c r="K29" i="139"/>
  <c r="F19" i="89" s="1"/>
  <c r="F22" i="89" s="1"/>
  <c r="F23" i="89" s="1"/>
  <c r="F25" i="89" s="1"/>
  <c r="F27" i="89" s="1"/>
  <c r="J27" i="89" s="1"/>
  <c r="L88" i="86" s="1"/>
  <c r="L92" i="86" s="1"/>
  <c r="L113" i="86" s="1"/>
  <c r="D43" i="193"/>
  <c r="D46" i="193"/>
  <c r="E47" i="193"/>
  <c r="J11" i="139" s="1"/>
  <c r="E23" i="129" l="1"/>
  <c r="E23" i="143"/>
  <c r="J29" i="139"/>
  <c r="D47" i="193"/>
  <c r="E20" i="89"/>
  <c r="O31" i="90"/>
  <c r="P20" i="143" l="1"/>
  <c r="E19" i="89"/>
  <c r="E22" i="89" s="1"/>
  <c r="E23" i="89" s="1"/>
  <c r="E25" i="89" s="1"/>
  <c r="E27" i="89" s="1"/>
  <c r="O29" i="139"/>
  <c r="P29" i="139" s="1"/>
  <c r="R21" i="129"/>
  <c r="E42" i="212" l="1"/>
  <c r="K11" i="210" s="1"/>
  <c r="E39" i="212"/>
  <c r="D38" i="212"/>
  <c r="E46" i="212" l="1"/>
  <c r="K11" i="209" s="1"/>
  <c r="D39" i="212"/>
  <c r="K46" i="210"/>
  <c r="F20" i="208" s="1"/>
  <c r="E43" i="212"/>
  <c r="J11" i="210" s="1"/>
  <c r="D42" i="212"/>
  <c r="J46" i="210" l="1"/>
  <c r="D43" i="212"/>
  <c r="K46" i="209"/>
  <c r="F19" i="208" s="1"/>
  <c r="F22" i="208" s="1"/>
  <c r="F23" i="208" s="1"/>
  <c r="F25" i="208" s="1"/>
  <c r="F27" i="208" s="1"/>
  <c r="J27" i="208" s="1"/>
  <c r="L88" i="204" s="1"/>
  <c r="L92" i="204" s="1"/>
  <c r="L113" i="204" s="1"/>
  <c r="D46" i="212"/>
  <c r="E47" i="212"/>
  <c r="J11" i="209" s="1"/>
  <c r="J46" i="209" l="1"/>
  <c r="D47" i="212"/>
  <c r="L184" i="204"/>
  <c r="E23" i="215"/>
  <c r="E23" i="216"/>
  <c r="E20" i="208"/>
  <c r="P46" i="210"/>
  <c r="E25" i="216" l="1"/>
  <c r="R21" i="216"/>
  <c r="F43" i="216"/>
  <c r="R27" i="216" s="1"/>
  <c r="L177" i="204"/>
  <c r="L182" i="204" s="1"/>
  <c r="F43" i="215"/>
  <c r="P26" i="215" s="1"/>
  <c r="P20" i="215"/>
  <c r="E25" i="215"/>
  <c r="E19" i="208"/>
  <c r="E22" i="208" s="1"/>
  <c r="E23" i="208" s="1"/>
  <c r="E25" i="208" s="1"/>
  <c r="E27" i="208" s="1"/>
  <c r="P46" i="209"/>
  <c r="F50" i="215" l="1"/>
  <c r="F29" i="215"/>
  <c r="F32" i="215" s="1"/>
  <c r="F36" i="215" s="1"/>
  <c r="F51" i="215" s="1"/>
  <c r="F44" i="215"/>
  <c r="P27" i="215" s="1"/>
  <c r="F44" i="216"/>
  <c r="R28" i="216" s="1"/>
  <c r="F50" i="216"/>
  <c r="F29" i="216"/>
  <c r="F32" i="216" s="1"/>
  <c r="F36" i="216" s="1"/>
  <c r="F51" i="216" s="1"/>
  <c r="G23" i="203" l="1"/>
  <c r="G22" i="203"/>
  <c r="G21" i="203"/>
  <c r="G20" i="203"/>
  <c r="G19" i="203"/>
  <c r="G18" i="203"/>
  <c r="G17" i="203"/>
  <c r="G16" i="203"/>
  <c r="G15" i="203"/>
  <c r="G14" i="203"/>
  <c r="G13" i="203"/>
  <c r="G12" i="203"/>
  <c r="C24" i="203" l="1"/>
  <c r="G11" i="203"/>
  <c r="G24" i="203" s="1"/>
  <c r="L228" i="86" l="1"/>
  <c r="L232" i="86" s="1"/>
  <c r="E237" i="86" s="1"/>
  <c r="E238" i="86" s="1"/>
  <c r="G236" i="86" s="1"/>
  <c r="G237" i="86" l="1"/>
  <c r="D18" i="143" s="1"/>
  <c r="E79" i="203"/>
  <c r="E81" i="203" s="1"/>
  <c r="E82" i="203" s="1"/>
  <c r="E53" i="203" s="1"/>
  <c r="E58" i="203" s="1"/>
  <c r="G235" i="86"/>
  <c r="D16" i="143" s="1"/>
  <c r="P15" i="143" s="1"/>
  <c r="D17" i="143"/>
  <c r="L236" i="86"/>
  <c r="D17" i="129"/>
  <c r="D18" i="129" l="1"/>
  <c r="R20" i="129" s="1"/>
  <c r="L237" i="86"/>
  <c r="D16" i="129"/>
  <c r="R16" i="129" s="1"/>
  <c r="L225" i="86"/>
  <c r="E60" i="203"/>
  <c r="J235" i="86" s="1"/>
  <c r="L235" i="86" s="1"/>
  <c r="P17" i="143"/>
  <c r="F17" i="143"/>
  <c r="R18" i="129"/>
  <c r="F17" i="129"/>
  <c r="P19" i="143"/>
  <c r="F18" i="143"/>
  <c r="F18" i="129" l="1"/>
  <c r="E16" i="143"/>
  <c r="P16" i="143" s="1"/>
  <c r="E16" i="129"/>
  <c r="F16" i="129" s="1"/>
  <c r="L238" i="86"/>
  <c r="G169" i="86" s="1"/>
  <c r="F16" i="143" l="1"/>
  <c r="F19" i="143" s="1"/>
  <c r="E24" i="143" s="1"/>
  <c r="E25" i="143" s="1"/>
  <c r="R17" i="129"/>
  <c r="G184" i="86"/>
  <c r="G177" i="86" s="1"/>
  <c r="G182" i="86" s="1"/>
  <c r="L184" i="86"/>
  <c r="F19" i="129"/>
  <c r="E24" i="129" s="1"/>
  <c r="E25" i="129" s="1"/>
  <c r="F31" i="143" l="1"/>
  <c r="F31" i="129"/>
  <c r="F43" i="129"/>
  <c r="R27" i="129" s="1"/>
  <c r="L177" i="86"/>
  <c r="L182" i="86" s="1"/>
  <c r="F43" i="143"/>
  <c r="P26" i="143" s="1"/>
  <c r="F29" i="143"/>
  <c r="F50" i="143"/>
  <c r="F29" i="129"/>
  <c r="F50" i="129"/>
  <c r="F32" i="129" l="1"/>
  <c r="F36" i="129" s="1"/>
  <c r="F51" i="129" s="1"/>
  <c r="F32" i="143"/>
  <c r="F36" i="143" s="1"/>
  <c r="F51" i="143" s="1"/>
  <c r="F44" i="143"/>
  <c r="P27" i="143" s="1"/>
  <c r="F44" i="129"/>
  <c r="R28" i="129" s="1"/>
  <c r="E48" i="39" l="1"/>
  <c r="E49" i="39"/>
  <c r="E50" i="39"/>
  <c r="E51" i="39"/>
  <c r="E35" i="39"/>
  <c r="E36" i="39"/>
  <c r="E37" i="39"/>
  <c r="E38" i="39"/>
  <c r="E39" i="39"/>
  <c r="E40" i="39"/>
  <c r="E41" i="39"/>
  <c r="E42" i="39"/>
  <c r="E43" i="39"/>
  <c r="E44" i="39"/>
  <c r="E24" i="39"/>
  <c r="E16" i="39"/>
  <c r="E17" i="39"/>
  <c r="E18" i="39"/>
  <c r="E19" i="39"/>
  <c r="E20" i="39"/>
  <c r="E21" i="39"/>
  <c r="E22" i="39"/>
  <c r="E102" i="219"/>
  <c r="E103" i="219"/>
  <c r="E104" i="219"/>
  <c r="E105" i="219"/>
  <c r="E106" i="219"/>
  <c r="E107" i="219"/>
  <c r="E108" i="219"/>
  <c r="E109" i="219"/>
  <c r="E110" i="219"/>
  <c r="E100" i="219"/>
  <c r="E54" i="219"/>
  <c r="E55" i="219"/>
  <c r="E56" i="219"/>
  <c r="E57" i="219"/>
  <c r="E58" i="219"/>
  <c r="E59" i="219"/>
  <c r="E60" i="219"/>
  <c r="E61" i="219"/>
  <c r="E62" i="219"/>
  <c r="E63" i="219"/>
  <c r="E64" i="219"/>
  <c r="E65" i="219"/>
  <c r="E66" i="219"/>
  <c r="E67" i="219"/>
  <c r="E68" i="219"/>
  <c r="E69" i="219"/>
  <c r="E70" i="219"/>
  <c r="E71" i="219"/>
  <c r="E72" i="219"/>
  <c r="E73" i="219"/>
  <c r="E74" i="219"/>
  <c r="E75" i="219"/>
  <c r="E76" i="219"/>
  <c r="E77" i="219"/>
  <c r="E78" i="219"/>
  <c r="E79" i="219"/>
  <c r="E80" i="219"/>
  <c r="E81" i="219"/>
  <c r="E82" i="219"/>
  <c r="E83" i="219"/>
  <c r="E84" i="219"/>
  <c r="E85" i="219"/>
  <c r="E86" i="219"/>
  <c r="E87" i="219"/>
  <c r="E88" i="219"/>
  <c r="E89" i="219"/>
  <c r="E90" i="219"/>
  <c r="E91" i="219"/>
  <c r="E92" i="219"/>
  <c r="E93" i="219"/>
  <c r="E94" i="219"/>
  <c r="E95" i="219"/>
  <c r="E96" i="219"/>
  <c r="E17" i="219"/>
  <c r="E18" i="219"/>
  <c r="E19" i="219"/>
  <c r="E20" i="219"/>
  <c r="E21" i="219"/>
  <c r="E22" i="219"/>
  <c r="E23" i="219"/>
  <c r="F25" i="219" l="1"/>
  <c r="E25" i="219" s="1"/>
  <c r="F24" i="219"/>
  <c r="E24" i="219" s="1"/>
  <c r="E44" i="219"/>
  <c r="E63" i="39"/>
  <c r="E64" i="39"/>
  <c r="E65" i="39"/>
  <c r="E46" i="39"/>
  <c r="E47" i="39"/>
  <c r="E52" i="39"/>
  <c r="E23" i="39"/>
  <c r="E25" i="39"/>
  <c r="E26" i="39"/>
  <c r="E27" i="39"/>
  <c r="E28" i="39"/>
  <c r="E29" i="39"/>
  <c r="E30" i="39"/>
  <c r="E31" i="39"/>
  <c r="E32" i="39"/>
  <c r="E33" i="39"/>
  <c r="E34" i="39"/>
  <c r="E45" i="39"/>
  <c r="E128" i="219"/>
  <c r="E129" i="219"/>
  <c r="E130" i="219"/>
  <c r="F112" i="219"/>
  <c r="E112" i="219" s="1"/>
  <c r="E39" i="219"/>
  <c r="E40" i="219"/>
  <c r="E41" i="219"/>
  <c r="E42" i="219"/>
  <c r="E43" i="219"/>
  <c r="E45" i="219"/>
  <c r="E46" i="219"/>
  <c r="E47" i="219"/>
  <c r="E48" i="219"/>
  <c r="E49" i="219"/>
  <c r="E50" i="219"/>
  <c r="E51" i="219"/>
  <c r="E52" i="219"/>
  <c r="E53" i="219"/>
  <c r="E97" i="219"/>
  <c r="E98" i="219"/>
  <c r="E99" i="219"/>
  <c r="E101" i="219"/>
  <c r="E16" i="219"/>
  <c r="E26" i="219"/>
  <c r="E27" i="219"/>
  <c r="E28" i="219"/>
  <c r="E29" i="219"/>
  <c r="E30" i="219"/>
  <c r="E31" i="219"/>
  <c r="E32" i="219"/>
  <c r="E33" i="219"/>
  <c r="E34" i="219"/>
  <c r="E35" i="219"/>
  <c r="E36" i="219"/>
  <c r="E37" i="219"/>
  <c r="E38" i="219" l="1"/>
  <c r="D71" i="39"/>
  <c r="G140" i="86" s="1"/>
  <c r="E62" i="39"/>
  <c r="E71" i="39" s="1"/>
  <c r="E127" i="219"/>
  <c r="E137" i="219" s="1"/>
  <c r="D137" i="219"/>
  <c r="G140" i="204" s="1"/>
  <c r="E15" i="39"/>
  <c r="E54" i="39" s="1"/>
  <c r="D54" i="39"/>
  <c r="G138" i="86" s="1"/>
  <c r="E15" i="219"/>
  <c r="F111" i="219"/>
  <c r="E111" i="219" s="1"/>
  <c r="F115" i="219" l="1"/>
  <c r="G144" i="204" s="1"/>
  <c r="L144" i="204" s="1"/>
  <c r="D115" i="219"/>
  <c r="G138" i="204" s="1"/>
  <c r="E118" i="219"/>
  <c r="E124" i="219" s="1"/>
  <c r="D124" i="219"/>
  <c r="G139" i="204" s="1"/>
  <c r="E115" i="219"/>
  <c r="D59" i="39"/>
  <c r="G139" i="86" s="1"/>
  <c r="G142" i="86" s="1"/>
  <c r="E57" i="39"/>
  <c r="E59" i="39" s="1"/>
  <c r="G142" i="204" l="1"/>
  <c r="G148" i="204" s="1"/>
  <c r="G150" i="204" s="1"/>
  <c r="G188" i="204" s="1"/>
  <c r="I38" i="220" s="1"/>
  <c r="I41" i="220" s="1"/>
  <c r="I43" i="220" s="1"/>
  <c r="I45" i="220" s="1"/>
  <c r="I46" i="220" s="1"/>
  <c r="I48" i="220" s="1"/>
  <c r="G191" i="204" s="1"/>
  <c r="G193" i="204" s="1"/>
  <c r="G148" i="86"/>
  <c r="G150" i="86" s="1"/>
  <c r="G188" i="86" s="1"/>
  <c r="I38" i="94" s="1"/>
  <c r="I41" i="94" s="1"/>
  <c r="I43" i="94" s="1"/>
  <c r="I45" i="94" s="1"/>
  <c r="I46" i="94" s="1"/>
  <c r="I48" i="94" s="1"/>
  <c r="G191" i="86" s="1"/>
  <c r="G193" i="86" s="1"/>
  <c r="L142" i="86"/>
  <c r="L148" i="86" s="1"/>
  <c r="L150" i="86" s="1"/>
  <c r="L188" i="86" s="1"/>
  <c r="K38" i="94" s="1"/>
  <c r="K41" i="94" s="1"/>
  <c r="K43" i="94" s="1"/>
  <c r="K45" i="94" s="1"/>
  <c r="K46" i="94" s="1"/>
  <c r="K48" i="94" s="1"/>
  <c r="L191" i="86" s="1"/>
  <c r="L142" i="204" l="1"/>
  <c r="L148" i="204" s="1"/>
  <c r="L150" i="204" s="1"/>
  <c r="L188" i="204" s="1"/>
  <c r="K38" i="220" s="1"/>
  <c r="K41" i="220" s="1"/>
  <c r="K43" i="220" s="1"/>
  <c r="K45" i="220" s="1"/>
  <c r="K46" i="220" s="1"/>
  <c r="K48" i="220" s="1"/>
  <c r="L191" i="204" s="1"/>
  <c r="L193" i="86"/>
  <c r="F45" i="129"/>
  <c r="R29" i="129" s="1"/>
  <c r="F45" i="143"/>
  <c r="P28" i="143" s="1"/>
  <c r="F45" i="215" l="1"/>
  <c r="P28" i="215" s="1"/>
  <c r="F45" i="216"/>
  <c r="R29" i="216" s="1"/>
  <c r="L193" i="204"/>
  <c r="F42" i="143"/>
  <c r="L12" i="86"/>
  <c r="F42" i="129"/>
  <c r="L26" i="86" l="1"/>
  <c r="L27" i="86" s="1"/>
  <c r="L18" i="86"/>
  <c r="L33" i="86"/>
  <c r="K14" i="147"/>
  <c r="L30" i="86"/>
  <c r="L12" i="204"/>
  <c r="F42" i="216"/>
  <c r="F42" i="215"/>
  <c r="R26" i="129"/>
  <c r="F46" i="129"/>
  <c r="F49" i="129" s="1"/>
  <c r="F52" i="129" s="1"/>
  <c r="F59" i="129" s="1"/>
  <c r="F62" i="129" s="1"/>
  <c r="F64" i="129" s="1"/>
  <c r="F66" i="129" s="1"/>
  <c r="F67" i="129" s="1"/>
  <c r="F68" i="129" s="1"/>
  <c r="F53" i="129" s="1"/>
  <c r="F54" i="129" s="1"/>
  <c r="F46" i="143"/>
  <c r="F49" i="143" s="1"/>
  <c r="F52" i="143" s="1"/>
  <c r="F59" i="143" s="1"/>
  <c r="F62" i="143" s="1"/>
  <c r="F64" i="143" s="1"/>
  <c r="F66" i="143" s="1"/>
  <c r="F67" i="143" s="1"/>
  <c r="F68" i="143" s="1"/>
  <c r="F53" i="143" s="1"/>
  <c r="F54" i="143" s="1"/>
  <c r="P25" i="143"/>
  <c r="P25" i="215" l="1"/>
  <c r="F46" i="215"/>
  <c r="F49" i="215" s="1"/>
  <c r="F52" i="215" s="1"/>
  <c r="F59" i="215" s="1"/>
  <c r="F62" i="215" s="1"/>
  <c r="F64" i="215" s="1"/>
  <c r="F66" i="215" s="1"/>
  <c r="F67" i="215" s="1"/>
  <c r="F68" i="215" s="1"/>
  <c r="F53" i="215" s="1"/>
  <c r="F54" i="215" s="1"/>
  <c r="L26" i="204"/>
  <c r="L27" i="204" s="1"/>
  <c r="M14" i="147"/>
  <c r="M20" i="147" s="1"/>
  <c r="M28" i="147" s="1"/>
  <c r="L33" i="204"/>
  <c r="L18" i="204"/>
  <c r="L30" i="204"/>
  <c r="F77" i="143"/>
  <c r="F77" i="129"/>
  <c r="R26" i="216"/>
  <c r="F46" i="216"/>
  <c r="F49" i="216" s="1"/>
  <c r="F52" i="216" s="1"/>
  <c r="F59" i="216" s="1"/>
  <c r="F62" i="216" s="1"/>
  <c r="F64" i="216" s="1"/>
  <c r="F66" i="216" s="1"/>
  <c r="F67" i="216" s="1"/>
  <c r="F68" i="216" s="1"/>
  <c r="F53" i="216" s="1"/>
  <c r="F54" i="216" s="1"/>
  <c r="K20" i="147"/>
  <c r="F56" i="129"/>
  <c r="F75" i="129" s="1"/>
  <c r="F76" i="129" s="1"/>
  <c r="F72" i="129"/>
  <c r="F73" i="129" s="1"/>
  <c r="F56" i="143"/>
  <c r="F75" i="143" s="1"/>
  <c r="F76" i="143" s="1"/>
  <c r="F72" i="143"/>
  <c r="F73" i="143" s="1"/>
  <c r="F78" i="129" l="1"/>
  <c r="F78" i="143"/>
  <c r="I14" i="147"/>
  <c r="P32" i="143"/>
  <c r="I99" i="143"/>
  <c r="F77" i="215"/>
  <c r="I99" i="215" s="1"/>
  <c r="F77" i="216"/>
  <c r="J100" i="216" s="1"/>
  <c r="J101" i="216" s="1"/>
  <c r="I20" i="147"/>
  <c r="K21" i="147" s="1"/>
  <c r="M21" i="147" s="1"/>
  <c r="K28" i="147"/>
  <c r="F72" i="215"/>
  <c r="F73" i="215" s="1"/>
  <c r="F56" i="215"/>
  <c r="F75" i="215" s="1"/>
  <c r="F76" i="215" s="1"/>
  <c r="F72" i="216"/>
  <c r="F73" i="216" s="1"/>
  <c r="F56" i="216"/>
  <c r="F75" i="216" s="1"/>
  <c r="F76" i="216" s="1"/>
  <c r="R33" i="129"/>
  <c r="J100" i="129"/>
  <c r="J101" i="129" s="1"/>
  <c r="I28" i="147" l="1"/>
  <c r="G104" i="215"/>
  <c r="G160" i="215" s="1"/>
  <c r="I100" i="215"/>
  <c r="H104" i="215" s="1"/>
  <c r="G104" i="143"/>
  <c r="G160" i="143" s="1"/>
  <c r="I100" i="143"/>
  <c r="H104" i="143" s="1"/>
  <c r="F78" i="215"/>
  <c r="P32" i="215"/>
  <c r="R33" i="216"/>
  <c r="F78" i="216"/>
  <c r="H160" i="143" l="1"/>
  <c r="I104" i="143"/>
  <c r="I160" i="143" s="1"/>
  <c r="H160" i="215"/>
  <c r="I104" i="215"/>
  <c r="I160" i="215" s="1"/>
  <c r="K34" i="147"/>
  <c r="F13" i="179" l="1"/>
  <c r="I30" i="147"/>
  <c r="I34" i="147" s="1"/>
  <c r="M34" i="147"/>
  <c r="F13" i="224" l="1"/>
  <c r="P44" i="179"/>
  <c r="D21" i="179"/>
  <c r="F33" i="153"/>
  <c r="Q27" i="153"/>
  <c r="D21" i="224" l="1"/>
  <c r="P44" i="224"/>
  <c r="D22" i="179"/>
  <c r="F22" i="179"/>
  <c r="J22" i="179" s="1"/>
  <c r="N22" i="179" s="1"/>
  <c r="P22" i="179" s="1"/>
  <c r="P21" i="179"/>
  <c r="S27" i="153"/>
  <c r="Q33" i="153"/>
  <c r="R27" i="153" s="1"/>
  <c r="F57" i="153"/>
  <c r="Q57" i="153" s="1"/>
  <c r="F22" i="224" l="1"/>
  <c r="J22" i="224" s="1"/>
  <c r="N22" i="224" s="1"/>
  <c r="P21" i="224"/>
  <c r="D22" i="224"/>
  <c r="P22" i="224"/>
  <c r="D23" i="179"/>
  <c r="F23" i="179"/>
  <c r="J23" i="179" s="1"/>
  <c r="N23" i="179" s="1"/>
  <c r="H26" i="179" s="1"/>
  <c r="S48" i="153"/>
  <c r="S57" i="153"/>
  <c r="M36" i="147"/>
  <c r="R16" i="153"/>
  <c r="R14" i="153"/>
  <c r="R30" i="153"/>
  <c r="R24" i="153"/>
  <c r="R15" i="153"/>
  <c r="R29" i="153"/>
  <c r="R18" i="153"/>
  <c r="R22" i="153"/>
  <c r="R32" i="153"/>
  <c r="R19" i="153"/>
  <c r="H26" i="149"/>
  <c r="R28" i="153"/>
  <c r="R25" i="153"/>
  <c r="R17" i="153"/>
  <c r="S33" i="153"/>
  <c r="R31" i="153"/>
  <c r="R21" i="153"/>
  <c r="R23" i="153"/>
  <c r="R20" i="153"/>
  <c r="R26" i="153"/>
  <c r="F23" i="224" l="1"/>
  <c r="J23" i="224" s="1"/>
  <c r="N23" i="224" s="1"/>
  <c r="H26" i="224" s="1"/>
  <c r="D23" i="224"/>
  <c r="H24" i="224"/>
  <c r="H25" i="224"/>
  <c r="D24" i="179"/>
  <c r="F24" i="179"/>
  <c r="P23" i="179"/>
  <c r="H24" i="179"/>
  <c r="H25" i="179"/>
  <c r="J26" i="149"/>
  <c r="J28" i="149" s="1"/>
  <c r="L26" i="149"/>
  <c r="L28" i="149" s="1"/>
  <c r="H28" i="149"/>
  <c r="M38" i="147"/>
  <c r="I36" i="147"/>
  <c r="D24" i="224" l="1"/>
  <c r="F24" i="224"/>
  <c r="J24" i="224" s="1"/>
  <c r="N24" i="224" s="1"/>
  <c r="P24" i="224" s="1"/>
  <c r="P23" i="224"/>
  <c r="J24" i="179"/>
  <c r="N24" i="179" s="1"/>
  <c r="F25" i="179"/>
  <c r="J25" i="179" s="1"/>
  <c r="N25" i="179" s="1"/>
  <c r="D25" i="179"/>
  <c r="I38" i="147"/>
  <c r="K36" i="147"/>
  <c r="K38" i="147" s="1"/>
  <c r="L32" i="149"/>
  <c r="L30" i="149"/>
  <c r="L31" i="149"/>
  <c r="L29" i="149"/>
  <c r="H31" i="149"/>
  <c r="H32" i="149"/>
  <c r="H29" i="149"/>
  <c r="H30" i="149"/>
  <c r="J32" i="149"/>
  <c r="J30" i="149"/>
  <c r="J31" i="149"/>
  <c r="J29" i="149"/>
  <c r="F25" i="224" l="1"/>
  <c r="J25" i="224" s="1"/>
  <c r="N25" i="224" s="1"/>
  <c r="D25" i="224"/>
  <c r="D26" i="179"/>
  <c r="F26" i="179"/>
  <c r="J26" i="179" s="1"/>
  <c r="N26" i="179" s="1"/>
  <c r="H27" i="179" s="1"/>
  <c r="P25" i="179"/>
  <c r="P24" i="179"/>
  <c r="H28" i="179" l="1"/>
  <c r="P26" i="179"/>
  <c r="H29" i="179"/>
  <c r="F26" i="224"/>
  <c r="J26" i="224" s="1"/>
  <c r="N26" i="224" s="1"/>
  <c r="H27" i="224" s="1"/>
  <c r="D26" i="224"/>
  <c r="P25" i="224"/>
  <c r="H28" i="224"/>
  <c r="D27" i="179"/>
  <c r="F27" i="179"/>
  <c r="J27" i="179" s="1"/>
  <c r="N27" i="179" s="1"/>
  <c r="H29" i="224" l="1"/>
  <c r="P26" i="224"/>
  <c r="P27" i="179"/>
  <c r="F27" i="224"/>
  <c r="J27" i="224" s="1"/>
  <c r="N27" i="224" s="1"/>
  <c r="D27" i="224"/>
  <c r="F28" i="179"/>
  <c r="J28" i="179" s="1"/>
  <c r="N28" i="179" s="1"/>
  <c r="D28" i="179"/>
  <c r="F28" i="224" l="1"/>
  <c r="J28" i="224" s="1"/>
  <c r="N28" i="224" s="1"/>
  <c r="D28" i="224"/>
  <c r="P28" i="224" s="1"/>
  <c r="P27" i="224"/>
  <c r="F29" i="179"/>
  <c r="J29" i="179" s="1"/>
  <c r="N29" i="179" s="1"/>
  <c r="H31" i="179" s="1"/>
  <c r="D29" i="179"/>
  <c r="P28" i="179"/>
  <c r="H32" i="179" l="1"/>
  <c r="H30" i="179"/>
  <c r="D29" i="224"/>
  <c r="F29" i="224"/>
  <c r="J29" i="224" s="1"/>
  <c r="N29" i="224" s="1"/>
  <c r="F30" i="179"/>
  <c r="J30" i="179" s="1"/>
  <c r="N30" i="179" s="1"/>
  <c r="D30" i="179"/>
  <c r="P29" i="179"/>
  <c r="H30" i="224" l="1"/>
  <c r="H32" i="224"/>
  <c r="F30" i="224"/>
  <c r="J30" i="224" s="1"/>
  <c r="N30" i="224" s="1"/>
  <c r="D30" i="224"/>
  <c r="P29" i="224"/>
  <c r="H31" i="224"/>
  <c r="F31" i="179"/>
  <c r="J31" i="179" s="1"/>
  <c r="N31" i="179" s="1"/>
  <c r="D31" i="179"/>
  <c r="P30" i="179"/>
  <c r="P30" i="224" l="1"/>
  <c r="F31" i="224"/>
  <c r="J31" i="224" s="1"/>
  <c r="N31" i="224" s="1"/>
  <c r="D31" i="224"/>
  <c r="D32" i="179"/>
  <c r="F32" i="179"/>
  <c r="J32" i="179" s="1"/>
  <c r="N32" i="179" s="1"/>
  <c r="P31" i="179"/>
  <c r="D32" i="224" l="1"/>
  <c r="F32" i="224"/>
  <c r="J32" i="224" s="1"/>
  <c r="N32" i="224" s="1"/>
  <c r="P31" i="224"/>
  <c r="H37" i="179"/>
  <c r="H35" i="179"/>
  <c r="H36" i="179"/>
  <c r="F35" i="179"/>
  <c r="P32" i="179"/>
  <c r="H35" i="224" l="1"/>
  <c r="H36" i="224"/>
  <c r="H37" i="224"/>
  <c r="F35" i="224"/>
  <c r="P32" i="224"/>
  <c r="J35" i="179"/>
  <c r="N35" i="179" s="1"/>
  <c r="F36" i="179"/>
  <c r="F36" i="224" l="1"/>
  <c r="J35" i="224"/>
  <c r="N35" i="224" s="1"/>
  <c r="J36" i="179"/>
  <c r="N36" i="179" s="1"/>
  <c r="F37" i="179"/>
  <c r="P35" i="179"/>
  <c r="P36" i="179"/>
  <c r="P35" i="224" l="1"/>
  <c r="F37" i="224"/>
  <c r="J36" i="224"/>
  <c r="N36" i="224" s="1"/>
  <c r="J37" i="179"/>
  <c r="N37" i="179" s="1"/>
  <c r="H40" i="179" s="1"/>
  <c r="F38" i="179"/>
  <c r="H39" i="179" l="1"/>
  <c r="P36" i="224"/>
  <c r="J37" i="224"/>
  <c r="N37" i="224" s="1"/>
  <c r="P37" i="224" s="1"/>
  <c r="F38" i="224"/>
  <c r="F39" i="224" s="1"/>
  <c r="F40" i="224" s="1"/>
  <c r="F39" i="179"/>
  <c r="F40" i="179" s="1"/>
  <c r="J40" i="179" s="1"/>
  <c r="N40" i="179" s="1"/>
  <c r="H38" i="179"/>
  <c r="J38" i="179" s="1"/>
  <c r="N38" i="179" s="1"/>
  <c r="P37" i="179"/>
  <c r="H38" i="224" l="1"/>
  <c r="J38" i="224" s="1"/>
  <c r="N38" i="224" s="1"/>
  <c r="P38" i="224" s="1"/>
  <c r="H40" i="224"/>
  <c r="J40" i="224" s="1"/>
  <c r="N40" i="224" s="1"/>
  <c r="H39" i="224"/>
  <c r="J39" i="224" s="1"/>
  <c r="N39" i="224" s="1"/>
  <c r="P38" i="179"/>
  <c r="J39" i="179"/>
  <c r="N39" i="179" s="1"/>
  <c r="P39" i="179" s="1"/>
  <c r="P40" i="224" l="1"/>
  <c r="P43" i="224" s="1"/>
  <c r="P45" i="224" s="1"/>
  <c r="P40" i="179"/>
  <c r="P43" i="179" s="1"/>
  <c r="P45" i="179" s="1"/>
  <c r="P39" i="2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2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2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2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2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2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2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2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2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2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200-00000A000000}">
      <text>
        <r>
          <rPr>
            <b/>
            <sz val="8"/>
            <color indexed="81"/>
            <rFont val="Tahoma"/>
            <family val="2"/>
          </rPr>
          <t>Author:</t>
        </r>
        <r>
          <rPr>
            <sz val="8"/>
            <color indexed="81"/>
            <rFont val="Tahoma"/>
            <family val="2"/>
          </rPr>
          <t xml:space="preserve">
"TRUE-UP Adjustment (i.e., Forecast Error) is from WS-G sheet [P.00x] in cell M89.</t>
        </r>
      </text>
    </comment>
    <comment ref="C27" authorId="0" shapeId="0" xr:uid="{00000000-0006-0000-0200-00000B000000}">
      <text>
        <r>
          <rPr>
            <b/>
            <sz val="9"/>
            <color indexed="81"/>
            <rFont val="Tahoma"/>
            <family val="2"/>
          </rPr>
          <t>Author:</t>
        </r>
        <r>
          <rPr>
            <sz val="9"/>
            <color indexed="81"/>
            <rFont val="Tahoma"/>
            <family val="2"/>
          </rPr>
          <t xml:space="preserve">
The SPP NTC only allows 94% of this project to be Base Plan.  Therefore, from 2014 Update onward, the indicated ATTR is based upon 94% of actual project investment.
In previous annual Updates, AEP provided 100% investment based ATRR thus SPP only collected 94% of the indicated ATRRs.  
Repeating:  from 2014 Update onward, no scaling is required by SPP as the indicated ATRR is already refelcting the 94% scaler per the original NTC.
</t>
        </r>
      </text>
    </comment>
    <comment ref="Q54" authorId="0" shapeId="0" xr:uid="{00000000-0006-0000-0200-00000C000000}">
      <text>
        <r>
          <rPr>
            <b/>
            <sz val="10"/>
            <color indexed="81"/>
            <rFont val="Tahoma"/>
            <family val="2"/>
          </rPr>
          <t>JFM</t>
        </r>
        <r>
          <rPr>
            <sz val="10"/>
            <color indexed="81"/>
            <rFont val="Tahoma"/>
            <family val="2"/>
          </rPr>
          <t xml:space="preserve">
From the Sch 11 true up tab in the template</t>
        </r>
      </text>
    </comment>
    <comment ref="J71" authorId="0" shapeId="0" xr:uid="{00000000-0006-0000-0200-00000D000000}">
      <text>
        <r>
          <rPr>
            <b/>
            <sz val="8"/>
            <color indexed="81"/>
            <rFont val="Tahoma"/>
            <family val="2"/>
          </rPr>
          <t>Author:</t>
        </r>
        <r>
          <rPr>
            <sz val="8"/>
            <color indexed="81"/>
            <rFont val="Tahoma"/>
            <family val="2"/>
          </rPr>
          <t xml:space="preserve">
This normally should equal last year's SWEPCO total Adj ARR effective prior July 1st on same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3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3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3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3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3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3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3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3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300-00000A000000}">
      <text>
        <r>
          <rPr>
            <b/>
            <sz val="8"/>
            <color indexed="81"/>
            <rFont val="Tahoma"/>
            <family val="2"/>
          </rPr>
          <t>Author:</t>
        </r>
        <r>
          <rPr>
            <sz val="8"/>
            <color indexed="81"/>
            <rFont val="Tahoma"/>
            <family val="2"/>
          </rPr>
          <t xml:space="preserve">
"TRUE-UP Adjustment (i.e., Forecast Error) is from WS-G sheet [P.00x] in cell M89.</t>
        </r>
      </text>
    </comment>
    <comment ref="Q95" authorId="0" shapeId="0" xr:uid="{00000000-0006-0000-0300-00000B000000}">
      <text>
        <r>
          <rPr>
            <b/>
            <sz val="10"/>
            <color indexed="81"/>
            <rFont val="Tahoma"/>
            <family val="2"/>
          </rPr>
          <t>JFM</t>
        </r>
        <r>
          <rPr>
            <sz val="10"/>
            <color indexed="81"/>
            <rFont val="Tahoma"/>
            <family val="2"/>
          </rPr>
          <t xml:space="preserve">
From the Sch 11 true up tab in the template</t>
        </r>
      </text>
    </comment>
    <comment ref="Q97" authorId="0" shapeId="0" xr:uid="{F5335EE6-8353-4B23-9AEE-E0937B2B11D2}">
      <text>
        <r>
          <rPr>
            <b/>
            <sz val="10"/>
            <color indexed="81"/>
            <rFont val="Tahoma"/>
            <family val="2"/>
          </rPr>
          <t>JFM</t>
        </r>
        <r>
          <rPr>
            <sz val="10"/>
            <color indexed="81"/>
            <rFont val="Tahoma"/>
            <family val="2"/>
          </rPr>
          <t xml:space="preserve">
From the Sch 11 true up tab in the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tc={29495C60-1B6F-4C55-B581-B2142DB84563}</author>
  </authors>
  <commentList>
    <comment ref="G173" authorId="0" shapeId="0" xr:uid="{29495C60-1B6F-4C55-B581-B2142DB84563}">
      <text>
        <t>[Threaded comment]
Your version of Excel allows you to read this threaded comment; however, any edits to it will get removed if the file is opened in a newer version of Excel. Learn more: https://go.microsoft.com/fwlink/?linkid=870924
Comment:
    Should be opposite sign from FF1 p 114. and match the amount on FF1 p 266 column f line 8</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0C00-000001000000}">
      <text>
        <r>
          <rPr>
            <b/>
            <sz val="9"/>
            <color indexed="81"/>
            <rFont val="Tahoma"/>
            <family val="2"/>
          </rPr>
          <t>Author:</t>
        </r>
        <r>
          <rPr>
            <sz val="9"/>
            <color indexed="81"/>
            <rFont val="Tahoma"/>
            <family val="2"/>
          </rPr>
          <t xml:space="preserve">
Remove *0 when doing projected rates.</t>
        </r>
      </text>
    </comment>
    <comment ref="H12" authorId="0" shapeId="0" xr:uid="{00000000-0006-0000-0C00-000002000000}">
      <text>
        <r>
          <rPr>
            <b/>
            <sz val="9"/>
            <color indexed="81"/>
            <rFont val="Tahoma"/>
            <family val="2"/>
          </rPr>
          <t>Author:</t>
        </r>
        <r>
          <rPr>
            <sz val="9"/>
            <color indexed="81"/>
            <rFont val="Tahoma"/>
            <family val="2"/>
          </rPr>
          <t xml:space="preserve">
Remove *0 when doing projected rates.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2" authorId="0" shapeId="0" xr:uid="{00000000-0006-0000-1900-000001000000}">
      <text>
        <r>
          <rPr>
            <b/>
            <sz val="9"/>
            <color indexed="81"/>
            <rFont val="Tahoma"/>
            <family val="2"/>
          </rPr>
          <t>Author:</t>
        </r>
        <r>
          <rPr>
            <sz val="9"/>
            <color indexed="81"/>
            <rFont val="Tahoma"/>
            <family val="2"/>
          </rPr>
          <t xml:space="preserve">
on page 262/263 of FF1 column g only, taxes charged during year
</t>
        </r>
      </text>
    </comment>
    <comment ref="E47" authorId="0" shapeId="0" xr:uid="{00000000-0006-0000-1900-000002000000}">
      <text>
        <r>
          <rPr>
            <b/>
            <sz val="10"/>
            <color indexed="81"/>
            <rFont val="Tahoma"/>
            <family val="2"/>
          </rPr>
          <t>Author:</t>
        </r>
        <r>
          <rPr>
            <sz val="10"/>
            <color indexed="81"/>
            <rFont val="Tahoma"/>
            <family val="2"/>
          </rPr>
          <t xml:space="preserve">
This is account 408.1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2C00-000001000000}">
      <text>
        <r>
          <rPr>
            <b/>
            <sz val="9"/>
            <color indexed="81"/>
            <rFont val="Tahoma"/>
            <family val="2"/>
          </rPr>
          <t>Author:</t>
        </r>
        <r>
          <rPr>
            <sz val="9"/>
            <color indexed="81"/>
            <rFont val="Tahoma"/>
            <family val="2"/>
          </rPr>
          <t xml:space="preserve">
Remove *0 when doing projected rates.
</t>
        </r>
      </text>
    </comment>
    <comment ref="H12" authorId="0" shapeId="0" xr:uid="{00000000-0006-0000-2C00-000002000000}">
      <text>
        <r>
          <rPr>
            <b/>
            <sz val="9"/>
            <color indexed="81"/>
            <rFont val="Tahoma"/>
            <family val="2"/>
          </rPr>
          <t>Author:</t>
        </r>
        <r>
          <rPr>
            <sz val="9"/>
            <color indexed="81"/>
            <rFont val="Tahoma"/>
            <family val="2"/>
          </rPr>
          <t xml:space="preserve">
Remove *0 when doing projected rates.</t>
        </r>
      </text>
    </comment>
  </commentList>
</comments>
</file>

<file path=xl/sharedStrings.xml><?xml version="1.0" encoding="utf-8"?>
<sst xmlns="http://schemas.openxmlformats.org/spreadsheetml/2006/main" count="7233" uniqueCount="1931">
  <si>
    <t>"Gross Margin" for the Company.  The tax rate of one percent is assessed on the resulting amount.  The jurisdictional allocator is based on transmission demand allocators.</t>
  </si>
  <si>
    <t>KW</t>
  </si>
  <si>
    <t>"the percentage of federal income tax deductible for state income taxes".  If the utility is taxed in more than one state it must attach a</t>
  </si>
  <si>
    <t>work paper showing the name of each state and how the blended or composite SIT was developed.  Furthermore, a utility that</t>
  </si>
  <si>
    <t xml:space="preserve">elected to utilize amortization of tax credits against taxable income, rather than book tax credits to Account No. 255 and reduce </t>
  </si>
  <si>
    <t>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</si>
  <si>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</si>
  <si>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</si>
  <si>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</si>
  <si>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</si>
  <si>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</si>
  <si>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P</t>
  </si>
  <si>
    <t>Q</t>
  </si>
  <si>
    <t>R</t>
  </si>
  <si>
    <t>S</t>
  </si>
  <si>
    <t xml:space="preserve">Balances @ </t>
  </si>
  <si>
    <t>N/A</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</si>
  <si>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</si>
  <si>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</si>
  <si>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</si>
  <si>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</si>
  <si>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</si>
  <si>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</si>
  <si>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 xml:space="preserve">   Net Revenue Requirement, Less Return and Taxes</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</si>
  <si>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</si>
  <si>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</si>
  <si>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</si>
  <si>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</si>
  <si>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</si>
  <si>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</si>
  <si>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</si>
  <si>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</si>
  <si>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Revenue</t>
  </si>
  <si>
    <t>REVENUE REQUIREMENT For All Company Facilities</t>
  </si>
  <si>
    <t>NET PLANT CARRYING CHARGE  (w/o incentives) (Note B)</t>
  </si>
  <si>
    <t>272-273.8.k</t>
  </si>
  <si>
    <t xml:space="preserve">   Effective State Income Tax Rate</t>
  </si>
  <si>
    <t>Total Company</t>
  </si>
  <si>
    <t>Trans. Only</t>
  </si>
  <si>
    <t>Apportioned Texas Revenues</t>
  </si>
  <si>
    <t>Taxable, Apportioned Margin</t>
  </si>
  <si>
    <t>Texas Gross Margin Tax Expense</t>
  </si>
  <si>
    <t xml:space="preserve">Gross-up Required for Texas Gross Margin Expense </t>
  </si>
  <si>
    <t>WHOLESALE LOAD ALLOCATOR (For Use in Gross Margin Tax Allocator)</t>
  </si>
  <si>
    <t>Texas Jurisdictional Load</t>
  </si>
  <si>
    <t>Total Load</t>
  </si>
  <si>
    <t>Allocation Percentage</t>
  </si>
  <si>
    <t>(C )</t>
  </si>
  <si>
    <t>June</t>
  </si>
  <si>
    <t>Total O&amp;M Allocable to Transmission</t>
  </si>
  <si>
    <t>Transmission Cost of Service Formula Rate</t>
  </si>
  <si>
    <t>Projected Year</t>
  </si>
  <si>
    <t>Less Account 216.1</t>
  </si>
  <si>
    <t>321.112.b</t>
  </si>
  <si>
    <t>323.185.b</t>
  </si>
  <si>
    <t>T</t>
  </si>
  <si>
    <t>(Note S)</t>
  </si>
  <si>
    <t>354.23.b</t>
  </si>
  <si>
    <t>354.24,25,26.b</t>
  </si>
  <si>
    <t>354.20.b</t>
  </si>
  <si>
    <t xml:space="preserve">Balances </t>
  </si>
  <si>
    <t>Total 561 Internally Developed Costs</t>
  </si>
  <si>
    <t>Production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</si>
  <si>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</si>
  <si>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</si>
  <si>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</si>
  <si>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</si>
  <si>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</si>
  <si>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</si>
  <si>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IMPORT (paste.values) DATA from support WS F'G file (WS F tab)</t>
  </si>
  <si>
    <t>Paste 4x1 range as values from WS-G support sheet.</t>
  </si>
  <si>
    <t>Pre 1971 ITC  Includable in Rate Base</t>
  </si>
  <si>
    <t>in Rate base</t>
  </si>
  <si>
    <t>(J)</t>
  </si>
  <si>
    <t xml:space="preserve">Transmission &amp; </t>
  </si>
  <si>
    <t xml:space="preserve">Distribution </t>
  </si>
  <si>
    <t>Exclusions *</t>
  </si>
  <si>
    <t>Plant Related</t>
  </si>
  <si>
    <t xml:space="preserve">Subtotal </t>
  </si>
  <si>
    <t>Allocated Total</t>
  </si>
  <si>
    <t>282.1</t>
  </si>
  <si>
    <t>Account 255 - Form-1 page 266-267</t>
  </si>
  <si>
    <t>*</t>
  </si>
  <si>
    <t>Exclusions: Non-utility, fuel supply, off-system sales and other items as specified related to costs not included in rates.</t>
  </si>
  <si>
    <t>Allocation Basis</t>
  </si>
  <si>
    <t>Transmission plant included in SPP Tariff</t>
  </si>
  <si>
    <t>Percent of transmission plant in SPP Tariff</t>
  </si>
  <si>
    <t>&lt;----Worksheet data is for</t>
  </si>
  <si>
    <t>Copy this 24x2 range to WS-F support sheet INPUT area</t>
  </si>
  <si>
    <t>The revenue credits shall include a) amounts received directly from the SPP for PTP transmission services, b) direct assignment charges for transmission facilities,</t>
  </si>
  <si>
    <t>the cost of which has been included in the TCOS, and c) amounts from customers taking service under grandfathered agreements, where the demand is not included</t>
  </si>
  <si>
    <t>283.1</t>
  </si>
  <si>
    <t>in the rate divisor. Revenues associated with FERC annual charges, gross receipts taxes, ancillary services or facilities excluded from the TCOS are not included as</t>
  </si>
  <si>
    <t>revenue credits.  Revenue from Transmission Customers whose coincident peak loads are included in the DIVISOR of the load-ratio share calculation are not</t>
  </si>
  <si>
    <t>The annual and monthly net plant carrying charges on page 1 are used to compute the revenue requirement for facilities and any upgrades.</t>
  </si>
  <si>
    <t>Account 4540001 - Rent from Elect Property-Aff</t>
  </si>
  <si>
    <t xml:space="preserve">Account 4540002 - Rent from Elect Property - Non-Aff </t>
  </si>
  <si>
    <t>Account 4540004 - Rent from Elect Property - ABD - Non-Aff</t>
  </si>
  <si>
    <t>Account 4560015, Revenues from Associated Business Development</t>
  </si>
  <si>
    <t>Less:</t>
  </si>
  <si>
    <t>Transmission Direct Assignment Revenue (if costs not in the ARR)</t>
  </si>
  <si>
    <t>Sponsored Upgrade Revenue</t>
  </si>
  <si>
    <t>Credits against Transmission Service Revenue related to Generation Interconnections</t>
  </si>
  <si>
    <t>Revenue for GFA's (Relative to SPP OATT) Associated with Load Included in the Divisor</t>
  </si>
  <si>
    <t>Network Service Revenue (SPP Schedule 9) Associated with Load included in the Divisor</t>
  </si>
  <si>
    <t>Revenue Associated with Transmission Plant Excluded From SPP Tariff</t>
  </si>
  <si>
    <t>Distribution and Other Non-Transmission Revenue</t>
  </si>
  <si>
    <t>Revenue from SPP Ancillary Services Provided</t>
  </si>
  <si>
    <t>Base Plan Revenue (from SPP)</t>
  </si>
  <si>
    <t>Flow Through of ERCOT Ancillary Charges</t>
  </si>
  <si>
    <t>(absolute value Total Company Amount Ties to FF1 p.277(k) -- Acct 283 Electric)</t>
  </si>
  <si>
    <r>
      <t>Worksheet E</t>
    </r>
    <r>
      <rPr>
        <sz val="12"/>
        <rFont val="Arial"/>
        <family val="2"/>
      </rPr>
      <t xml:space="preserve"> - IPP Credits</t>
    </r>
  </si>
  <si>
    <r>
      <t xml:space="preserve"> Worksheet I</t>
    </r>
    <r>
      <rPr>
        <sz val="12"/>
        <rFont val="Arial"/>
        <family val="2"/>
      </rPr>
      <t xml:space="preserve"> - Supporting Transmission Expense Adjustments</t>
    </r>
  </si>
  <si>
    <r>
      <t xml:space="preserve"> Worksheet J</t>
    </r>
    <r>
      <rPr>
        <sz val="12"/>
        <rFont val="Arial"/>
        <family val="2"/>
      </rPr>
      <t xml:space="preserve"> - Allocation of Specific O&amp;M or  A&amp;G Expenses</t>
    </r>
  </si>
  <si>
    <r>
      <t xml:space="preserve"> Worksheet K </t>
    </r>
    <r>
      <rPr>
        <sz val="12"/>
        <rFont val="Arial"/>
        <family val="2"/>
      </rPr>
      <t>- Development of Composite State Income Tax Rate</t>
    </r>
  </si>
  <si>
    <r>
      <t xml:space="preserve"> Worksheet L</t>
    </r>
    <r>
      <rPr>
        <sz val="12"/>
        <rFont val="Arial"/>
        <family val="2"/>
      </rPr>
      <t xml:space="preserve"> - Taxes Other than Income</t>
    </r>
  </si>
  <si>
    <t>(State Income Tax Rate or Composite SIT.  Worksheet K)</t>
  </si>
  <si>
    <t xml:space="preserve">              should equal the sum of the 'income' tax line items within FF1 p262.x-263.x</t>
  </si>
  <si>
    <t xml:space="preserve">                                                                                                                                                                     </t>
  </si>
  <si>
    <t>AEP Annual</t>
  </si>
  <si>
    <t>PSO Annual</t>
  </si>
  <si>
    <t>SWEPCO Annual</t>
  </si>
  <si>
    <t>Requirement</t>
  </si>
  <si>
    <t>A.</t>
  </si>
  <si>
    <t>B.</t>
  </si>
  <si>
    <t>MW</t>
  </si>
  <si>
    <t>SPP SCHEDULE 1 AEP Revenue Requirements</t>
  </si>
  <si>
    <t>True-Up Year</t>
  </si>
  <si>
    <t>NOTE:</t>
  </si>
  <si>
    <t>(Total Company Amount Ties to FF1 p.234(c) -- Electric)</t>
  </si>
  <si>
    <t>State Income Tax Rate - Oklahoma</t>
  </si>
  <si>
    <t>Note 1</t>
  </si>
  <si>
    <t>FF1, page 219, ln 28, Col. (b)</t>
  </si>
  <si>
    <t>FF1, p. 227, ln 8, Col. (c &amp; b)</t>
  </si>
  <si>
    <t>FF1, p. 227, ln 11, Col. (c &amp; b)</t>
  </si>
  <si>
    <t>FF1, p. 227, ln 16, Col. (c &amp; b)</t>
  </si>
  <si>
    <t>Identified as being transmission related or functionally booked to transmission.</t>
  </si>
  <si>
    <t xml:space="preserve">Removes cost of transmission service provided by others to the extent such service is not incurred to provide the SPP service at issue.  </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</si>
  <si>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</si>
  <si>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</si>
  <si>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(Total Company Amount Ties to FFI p.114, Ln 14,(c))</t>
  </si>
  <si>
    <t xml:space="preserve">Includes functional wages &amp; salaries incurred by parent company service corporation for support of the operating company. </t>
  </si>
  <si>
    <t>NOTE D</t>
  </si>
  <si>
    <t>(Note F)</t>
  </si>
  <si>
    <t>REVENUE REQUIREMENT BEFORE TEXAS GROSS MARGIN TAX</t>
  </si>
  <si>
    <t xml:space="preserve">  Regional Market Expenses</t>
  </si>
  <si>
    <t>354.22.b</t>
  </si>
  <si>
    <t>354.21.b</t>
  </si>
  <si>
    <t xml:space="preserve">   Project ROE Incentive Adder (Enter as whole number)</t>
  </si>
  <si>
    <t>A.   Determine Net Revenue Requirement less return and Income Taxes.</t>
  </si>
  <si>
    <t>FERC</t>
  </si>
  <si>
    <t>Acct No.</t>
  </si>
  <si>
    <t>Allocation Method</t>
  </si>
  <si>
    <t>Line #</t>
  </si>
  <si>
    <t>Exclusions</t>
  </si>
  <si>
    <t>100% Transmission</t>
  </si>
  <si>
    <t>PTD Plant</t>
  </si>
  <si>
    <t>T&amp;D</t>
  </si>
  <si>
    <t>PTD</t>
  </si>
  <si>
    <t>TOTAL ELECTRIC ACCOUNT SUBTOTAL</t>
  </si>
  <si>
    <t>STEP 1</t>
  </si>
  <si>
    <t>PROJECTED YEAR Rev Require</t>
  </si>
  <si>
    <t>PROJECTED YEAR  W Incentives</t>
  </si>
  <si>
    <t>PROJECTED YEAR Incentive Amounts</t>
  </si>
  <si>
    <t>STEP 4</t>
  </si>
  <si>
    <t>Paste 3x1 range as values from WS-F support sheet.</t>
  </si>
  <si>
    <t>Blue text is driven by other FR Template sheets</t>
  </si>
  <si>
    <t>STEP 2</t>
  </si>
  <si>
    <t>STEP 3</t>
  </si>
  <si>
    <t>(absolute value Total Company Amount Ties to FF1 p.275(k) -- Acct 282 Electric)</t>
  </si>
  <si>
    <t>Development of Cost of  Long Term Debt Based on Average Outstanding Balance</t>
  </si>
  <si>
    <t>Total Hedge Amortization</t>
  </si>
  <si>
    <t>Financial Hedge Recovery Limit  - Five Basis Points of Total Capital</t>
  </si>
  <si>
    <t>Limit of Recoverable Amount</t>
  </si>
  <si>
    <t>Development of Cost of Preferred Stock</t>
  </si>
  <si>
    <t>Average Balance of Common Equity</t>
  </si>
  <si>
    <t>(Note E)</t>
  </si>
  <si>
    <t>(I)</t>
  </si>
  <si>
    <t>Balances</t>
  </si>
  <si>
    <t>(FF1 p.114, ln 19.c)</t>
  </si>
  <si>
    <t>Average</t>
  </si>
  <si>
    <t>FF1, page 219, ln 26, Col. (b)</t>
  </si>
  <si>
    <t>FF1, page 200, ln 21, Col. (b)</t>
  </si>
  <si>
    <t>(Note I) 321.84-92.b</t>
  </si>
  <si>
    <t>(Note J) 321.96.b</t>
  </si>
  <si>
    <t>323.189.b</t>
  </si>
  <si>
    <t>323.191.b</t>
  </si>
  <si>
    <t>323.192.b</t>
  </si>
  <si>
    <t>Worksheet L, Col. D</t>
  </si>
  <si>
    <t>Worksheet L, Col. C</t>
  </si>
  <si>
    <t>Worksheet L, Col. F</t>
  </si>
  <si>
    <t>Worksheet L, Col. E</t>
  </si>
  <si>
    <t>SUMMARY OF PROJECTED ANNUAL BASE PLAN AND  NON-BASE PLAN REVENUE REQUIREMENTS</t>
  </si>
  <si>
    <t xml:space="preserve">Plant </t>
  </si>
  <si>
    <t>Related</t>
  </si>
  <si>
    <t>Transmission Materials &amp; Supplies</t>
  </si>
  <si>
    <t>General Materials &amp; Supplies</t>
  </si>
  <si>
    <t xml:space="preserve">  Stores Expense </t>
  </si>
  <si>
    <t>Excludable</t>
  </si>
  <si>
    <t xml:space="preserve">   EIT=(T/(1-T)) * (1-(WCLTD/WACC)) =</t>
  </si>
  <si>
    <t xml:space="preserve">   Income Tax Calculation  (Return  x  EIT)</t>
  </si>
  <si>
    <t>The total-company balances shown for Accounts 281, 282, 283, 190 only reflect ADIT that relates to utility operations. The balance of Account 255 is reduced by</t>
  </si>
  <si>
    <t>Worksheet C.</t>
  </si>
  <si>
    <t>This additional revenue requirement is determined using a net plant carrying charge (fixed carrying charge or FCR) approach.  Worksheet G shows the calculation</t>
  </si>
  <si>
    <t>projects receiving incentives as accepted by FERC.  These individual additional revenue requirements are summed for the true-up year, and included here.</t>
  </si>
  <si>
    <t>( C )</t>
  </si>
  <si>
    <t xml:space="preserve">     Less: Account 565</t>
  </si>
  <si>
    <t>ACCUMULATED DEPRECIATION AND AMORTIZATION</t>
  </si>
  <si>
    <t>WACC=</t>
  </si>
  <si>
    <t>TP1=</t>
  </si>
  <si>
    <t>Non-</t>
  </si>
  <si>
    <t xml:space="preserve">IPP CONTRIBUTIONS FOR CONSTRUCTION  </t>
  </si>
  <si>
    <t>TAXES OTHER THAN INCOME</t>
  </si>
  <si>
    <t>TOTAL OTHER TAXES</t>
  </si>
  <si>
    <t>TOTAL INCOME TAXES</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</si>
  <si>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</si>
  <si>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</si>
  <si>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</si>
  <si>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</si>
  <si>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</si>
  <si>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</si>
  <si>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</si>
  <si>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</si>
  <si>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</si>
  <si>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</si>
  <si>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</si>
  <si>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</si>
  <si>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</si>
  <si>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</si>
  <si>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</si>
  <si>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</si>
  <si>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</si>
  <si>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</si>
  <si>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</si>
  <si>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</si>
  <si>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</si>
  <si>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</si>
  <si>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</si>
  <si>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</si>
  <si>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</si>
  <si>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</si>
  <si>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</si>
  <si>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</si>
  <si>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</si>
  <si>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</si>
  <si>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</si>
  <si>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</si>
  <si>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</si>
  <si>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</si>
  <si>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</si>
  <si>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</si>
  <si>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</si>
  <si>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</si>
  <si>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</si>
  <si>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</si>
  <si>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</si>
  <si>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</si>
  <si>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</si>
  <si>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</si>
  <si>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</si>
  <si>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</si>
  <si>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</si>
  <si>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</si>
  <si>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</si>
  <si>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</si>
  <si>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</si>
  <si>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</si>
  <si>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</si>
  <si>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</si>
  <si>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</si>
  <si>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</si>
  <si>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</si>
  <si>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</si>
  <si>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</si>
  <si>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</si>
  <si>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</si>
  <si>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</si>
  <si>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</si>
  <si>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</si>
  <si>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</si>
  <si>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</si>
  <si>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</si>
  <si>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</si>
  <si>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</si>
  <si>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</si>
  <si>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</si>
  <si>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</si>
  <si>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</si>
  <si>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</si>
  <si>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</si>
  <si>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</si>
  <si>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</si>
  <si>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</si>
  <si>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</si>
  <si>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</si>
  <si>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</si>
  <si>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</si>
  <si>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</si>
  <si>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</si>
  <si>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</si>
  <si>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</si>
  <si>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</si>
  <si>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</si>
  <si>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</si>
  <si>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</si>
  <si>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</si>
  <si>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</si>
  <si>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</si>
  <si>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</si>
  <si>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</si>
  <si>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</si>
  <si>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</si>
  <si>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</si>
  <si>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</si>
  <si>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</si>
  <si>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</si>
  <si>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Balance</t>
  </si>
  <si>
    <t>Total Included</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</si>
  <si>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</si>
  <si>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</si>
  <si>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</si>
  <si>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</si>
  <si>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</si>
  <si>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</si>
  <si>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</si>
  <si>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</si>
  <si>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</si>
  <si>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</si>
  <si>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</si>
  <si>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</si>
  <si>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</si>
  <si>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</si>
  <si>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</si>
  <si>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</si>
  <si>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</si>
  <si>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RETURN ON RATE BASE (Rate Base*WACC)</t>
  </si>
  <si>
    <t xml:space="preserve">  Other (Excludes A&amp;G) </t>
  </si>
  <si>
    <t/>
  </si>
  <si>
    <t>basis points</t>
  </si>
  <si>
    <t>Copy this 24x2 range to WS-G support sheet INPUT area</t>
  </si>
  <si>
    <t>Apportionment Factor</t>
  </si>
  <si>
    <t>Total Effective State Income Tax Rate</t>
  </si>
  <si>
    <t>Cash Working Capital</t>
  </si>
  <si>
    <t>PLANT HELD FOR FUTURE USE</t>
  </si>
  <si>
    <t xml:space="preserve">   R   (from A. above)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</si>
  <si>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</si>
  <si>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</si>
  <si>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</si>
  <si>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</si>
  <si>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</si>
  <si>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</si>
  <si>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</si>
  <si>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</si>
  <si>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</si>
  <si>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GTD=</t>
  </si>
  <si>
    <t>made contributions toward the construction of System upgrades, and includes accrued interest and unreturned balance of contributions.  The annual interest</t>
  </si>
  <si>
    <t>Long Term Interest</t>
  </si>
  <si>
    <t xml:space="preserve">Preferred Dividends </t>
  </si>
  <si>
    <t xml:space="preserve">Accounting Adjustment </t>
  </si>
  <si>
    <t xml:space="preserve">           Acct. 928 - Transmission Specific</t>
  </si>
  <si>
    <t xml:space="preserve">CALCULATION OF TEXAS GROSS MARGIN TAX </t>
  </si>
  <si>
    <t xml:space="preserve">           Acct 930.1 - Only safety related ads -Direct</t>
  </si>
  <si>
    <t xml:space="preserve">           Acct 930.2 - Misc Gen. Exp. - Trans</t>
  </si>
  <si>
    <t>Development of Common Stock:</t>
  </si>
  <si>
    <t xml:space="preserve">Proprietary Capital </t>
  </si>
  <si>
    <t>Less Account 219</t>
  </si>
  <si>
    <t>Common Stock</t>
  </si>
  <si>
    <t>N</t>
  </si>
  <si>
    <t xml:space="preserve">  Annual Rate</t>
  </si>
  <si>
    <t xml:space="preserve">  Monthly Rate</t>
  </si>
  <si>
    <t>Weighted cost</t>
  </si>
  <si>
    <t>Rev Require</t>
  </si>
  <si>
    <t>Incentive Amounts</t>
  </si>
  <si>
    <t>Long Term Debt</t>
  </si>
  <si>
    <t>Preferred Stock</t>
  </si>
  <si>
    <t>R =</t>
  </si>
  <si>
    <t xml:space="preserve">   Return (Rate Base  x  R)</t>
  </si>
  <si>
    <t xml:space="preserve">   Return   (from B. above)</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</si>
  <si>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</si>
  <si>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</si>
  <si>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</si>
  <si>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</si>
  <si>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</si>
  <si>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</si>
  <si>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Investment</t>
  </si>
  <si>
    <t>SUMMARY OF TRUED-UP ANNUAL REVENUE REQUIREMENTS FOR SPP BPU &amp; NON-BPU PROJECTS</t>
  </si>
  <si>
    <r>
      <t xml:space="preserve">   Return   (from </t>
    </r>
    <r>
      <rPr>
        <sz val="10"/>
        <rFont val="MS Serif"/>
        <family val="1"/>
      </rPr>
      <t>I</t>
    </r>
    <r>
      <rPr>
        <sz val="10"/>
        <rFont val="Arial"/>
        <family val="2"/>
      </rPr>
      <t>.B. above)</t>
    </r>
  </si>
  <si>
    <t>TOTAL DEPRECIATION AND AMORTIZATI0N</t>
  </si>
  <si>
    <t>O</t>
  </si>
  <si>
    <t xml:space="preserve">  Prepayments (Account 165) - Transmission Only</t>
  </si>
  <si>
    <t>Account</t>
  </si>
  <si>
    <t>Property</t>
  </si>
  <si>
    <t>Non-Allocable</t>
  </si>
  <si>
    <t xml:space="preserve"> Total Taxes by Allocable Basis</t>
  </si>
  <si>
    <t xml:space="preserve">Miscellaneous Taxes </t>
  </si>
  <si>
    <t>Revenue Taxes</t>
  </si>
  <si>
    <t>Real Estate and Personal Property Taxes</t>
  </si>
  <si>
    <t xml:space="preserve">Payroll Taxes </t>
  </si>
  <si>
    <t>DEFERRED TAX ADJUSTMENTS TO RATE BASE</t>
  </si>
  <si>
    <t xml:space="preserve">     Less: Total Account 561</t>
  </si>
  <si>
    <t xml:space="preserve">               Acct. 928, Reg. Com. Exp.</t>
  </si>
  <si>
    <t xml:space="preserve">  Less:    Acct. 924, Property Insurance</t>
  </si>
  <si>
    <t xml:space="preserve">               Acct. 930.2, Misc. Gen. Exp.</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</si>
  <si>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</si>
  <si>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</si>
  <si>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</si>
  <si>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</si>
  <si>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</si>
  <si>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</si>
  <si>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The currently effective income tax rate,  where FIT is the Federal income tax rate; SIT is the State income tax rate, and p =</t>
  </si>
  <si>
    <t>Account 4540005 - Rent from Elect Property - Pole Attach</t>
  </si>
  <si>
    <t>(Note T)</t>
  </si>
  <si>
    <t>TEXAS GROSS MARGIN TAX (Note P) (Worksheet K)</t>
  </si>
  <si>
    <t xml:space="preserve">       and FIT, SIT &amp; p are as given in Note O.</t>
  </si>
  <si>
    <t xml:space="preserve"> (Note O)</t>
  </si>
  <si>
    <t>(Note N)</t>
  </si>
  <si>
    <t>323.197.b (Note K, M)</t>
  </si>
  <si>
    <t>prior flow throughs and is completely excluded if the utility chose to utilize amortization of tax credits against FIT expense as discussed in Note N.  An exception to</t>
  </si>
  <si>
    <t>Rate Year</t>
  </si>
  <si>
    <t>Rate Year Average Balances</t>
  </si>
  <si>
    <t>Capital Structure Percentage</t>
  </si>
  <si>
    <t>Income Tax Prior to Adjustments</t>
  </si>
  <si>
    <t>ITC adjustment</t>
  </si>
  <si>
    <t xml:space="preserve">Explanation of Transmission </t>
  </si>
  <si>
    <t>Specific Items</t>
  </si>
  <si>
    <t>True-Up Rate Year</t>
  </si>
  <si>
    <t xml:space="preserve">∑ True Up Year Projected  WS-F  </t>
  </si>
  <si>
    <t>are contained in a separate file</t>
  </si>
  <si>
    <t>∑ Projected Year</t>
  </si>
  <si>
    <t>State Income Tax Rate -</t>
  </si>
  <si>
    <t>Note: Worksheets F and G are both populated from the TCOS worksheet every update. Worksheet F is only used in Projections. Worksheet G is used only in True-Ups. These worksheets add up all of the individual SPP Base Plan projects, Requested Upgrades, Economic Upgrades, or any other projects billed by SPP through other than the NITS rate.</t>
  </si>
  <si>
    <t xml:space="preserve">∑ True-Up Year True-Up WS-G  </t>
  </si>
  <si>
    <t xml:space="preserve"> With Incentives</t>
  </si>
  <si>
    <t>OUTPUT (Copy) to WS.F'G.Support.File (WS-G tab)</t>
  </si>
  <si>
    <t>is in Worksheet F/G project detaills workbook (WS G tab)</t>
  </si>
  <si>
    <t>IMPORT (paste.values) DATA from Support file sheet WS.G</t>
  </si>
  <si>
    <t>is in Worksheet F/G project detaills workbook (WS F tab)</t>
  </si>
  <si>
    <t>OUTPUT (Copy) to WS.F/G.Support.File (WS-F tab)</t>
  </si>
  <si>
    <t>PART IV ---Projected Base Plan Project Tables</t>
  </si>
  <si>
    <t>PART IV --- True-Up Base Plan Project Tables</t>
  </si>
  <si>
    <t>Long Term Debt %</t>
  </si>
  <si>
    <t>Long Term Debt Cost</t>
  </si>
  <si>
    <t>Preferred Stock %</t>
  </si>
  <si>
    <t>Preferred Stock Cost</t>
  </si>
  <si>
    <t>Common Stock %</t>
  </si>
  <si>
    <t>Determine the Revenue Requirement &amp; Additional Revenue Requirement for facilities receiving incentives.</t>
  </si>
  <si>
    <t>A.   Facilities receiving incentives accepted by FERC in Docket No.</t>
  </si>
  <si>
    <t xml:space="preserve">Project Description: </t>
  </si>
  <si>
    <t>Current Projected Year Incentive ARR</t>
  </si>
  <si>
    <t>DETAILS</t>
  </si>
  <si>
    <t>Investment (EOY)</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</si>
  <si>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</si>
  <si>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</si>
  <si>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</si>
  <si>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</si>
  <si>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</si>
  <si>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</si>
  <si>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</si>
  <si>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</si>
  <si>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</si>
  <si>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</si>
  <si>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Annual Depreciation Expense</t>
  </si>
  <si>
    <t>Beginning</t>
  </si>
  <si>
    <t>Depreciation</t>
  </si>
  <si>
    <t>Ending</t>
  </si>
  <si>
    <t>Annual
Revenue</t>
  </si>
  <si>
    <t>Annual Revenue Req't.</t>
  </si>
  <si>
    <t>Additional Rev.</t>
  </si>
  <si>
    <t>PROJECTED Rev. Req't From Prior Year Template</t>
  </si>
  <si>
    <t>Project Rev Req't True-up</t>
  </si>
  <si>
    <t>True-up of Incentive</t>
  </si>
  <si>
    <t>Year</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</si>
  <si>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</si>
  <si>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</si>
  <si>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</si>
  <si>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</si>
  <si>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</si>
  <si>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</si>
  <si>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</si>
  <si>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Worksheet F</t>
  </si>
  <si>
    <t>Current Projected Year ARR</t>
  </si>
  <si>
    <t>Current Projected Year ARR w/ Incentive</t>
  </si>
  <si>
    <t>Determine the Revenue Requirement, and Additional Revenue Requirement for facilities receiving incentives.</t>
  </si>
  <si>
    <t>w/Incentives</t>
  </si>
  <si>
    <t>Project Description:</t>
  </si>
  <si>
    <t xml:space="preserve">True-Up Adjustment  </t>
  </si>
  <si>
    <t>Details</t>
  </si>
  <si>
    <t>CUMMULATIVE HISTORY OF TRUED-UP ANNUAL REVENUE REQUIREMENTS:</t>
  </si>
  <si>
    <t>2013</t>
  </si>
  <si>
    <t xml:space="preserve">          INPUT TRUE-UP ARR (WITH &amp; WITHOUT INCENTIVES) FROM EACH PRIOR YEAR</t>
  </si>
  <si>
    <t xml:space="preserve">          TEMPLATE BELOW TO MAINTAIN HISTORY OF TRUED-UP ARRS OVER THE </t>
  </si>
  <si>
    <t>Annual Revenue</t>
  </si>
  <si>
    <t>Incentive Rev.</t>
  </si>
  <si>
    <t>BPU Rev. Req't.From Prior Year Template</t>
  </si>
  <si>
    <t>BPU Rev Req't True-up</t>
  </si>
  <si>
    <t xml:space="preserve">Rate Year Projected  (WS-F)  </t>
  </si>
  <si>
    <t xml:space="preserve">Rate Year True-Up  (WS-G)  </t>
  </si>
  <si>
    <t xml:space="preserve"> Worksheet G</t>
  </si>
  <si>
    <t>WS F INPUT/OUTPUT ranges. Do not include in print range or tariff</t>
  </si>
  <si>
    <t>WS G INPUT/OUTPUT ranges. Do not include in print range or tariff</t>
  </si>
  <si>
    <t>Total Rents from Electric Property</t>
  </si>
  <si>
    <t>Other 454 Accounts</t>
  </si>
  <si>
    <t>Projected / Actual</t>
  </si>
  <si>
    <t>Excess / (Deficit) Deferred Income Tax</t>
  </si>
  <si>
    <t>Note: Account 281 is not allocated to Transmission</t>
  </si>
  <si>
    <t>Account 190 - Form-1 page 234, Ln 8, Col. (b) &amp; ( c)</t>
  </si>
  <si>
    <t>Account 282 - Form-1 page 274.2.b and 275.2.k</t>
  </si>
  <si>
    <t>Account 283 - Form-1 page 276.9.b and 277.9.k</t>
  </si>
  <si>
    <t>Annual forecasted change</t>
  </si>
  <si>
    <t>Monthly forecasted change</t>
  </si>
  <si>
    <t>Future Test Period</t>
  </si>
  <si>
    <t>Proratable Deferred Tax Activity</t>
  </si>
  <si>
    <t>Prorated Item</t>
  </si>
  <si>
    <t>Beginning Balance</t>
  </si>
  <si>
    <t>January (line 4)</t>
  </si>
  <si>
    <t>February</t>
  </si>
  <si>
    <t>October</t>
  </si>
  <si>
    <t>November</t>
  </si>
  <si>
    <t>Ending Balance</t>
  </si>
  <si>
    <t>Deferred Tax Balance</t>
  </si>
  <si>
    <t>Days in Month</t>
  </si>
  <si>
    <t>Number of Days Left in Period</t>
  </si>
  <si>
    <t>Proration Amount</t>
  </si>
  <si>
    <t>Prorated Balance</t>
  </si>
  <si>
    <t>WS C-1</t>
  </si>
  <si>
    <t>WS C-2</t>
  </si>
  <si>
    <t>Prorated Average balance</t>
  </si>
  <si>
    <t>Line No.</t>
  </si>
  <si>
    <t>Note:</t>
  </si>
  <si>
    <t>Facility Credits under the SPP OATT</t>
  </si>
  <si>
    <r>
      <t xml:space="preserve"> </t>
    </r>
    <r>
      <rPr>
        <b/>
        <sz val="14"/>
        <rFont val="Arial"/>
        <family val="2"/>
      </rPr>
      <t>Worksheet C</t>
    </r>
    <r>
      <rPr>
        <sz val="14"/>
        <rFont val="Arial"/>
        <family val="2"/>
      </rPr>
      <t xml:space="preserve"> - ADIT and ADITC Balances</t>
    </r>
  </si>
  <si>
    <t>Network Customer Owned Facility Credits</t>
  </si>
  <si>
    <t>Removes transmission plant (e.g. step-up transformers) included in the development of OATT ancillary service rates and not already removed for reasons indicated in Note Q.</t>
  </si>
  <si>
    <t xml:space="preserve">Calculation of Actual/ Projected Zonal Rate For Schedule 9 </t>
  </si>
  <si>
    <t>PSO  Annual</t>
  </si>
  <si>
    <t>SWEPCO  Annual</t>
  </si>
  <si>
    <t>Network Service</t>
  </si>
  <si>
    <t>RATE YEAR REVENUE REQUIREMENT (w/o incentives)</t>
  </si>
  <si>
    <t>NETWORK CUSTOMER OWNED FACILITY CREDITS</t>
  </si>
  <si>
    <t>LESS: REVENUE CREDITS</t>
  </si>
  <si>
    <t>RATE YEAR ZONE 1 AEP NETWORK SERVICE REVENUE REQUIREMENT</t>
  </si>
  <si>
    <t xml:space="preserve">LESS:  REVENUE REQUIREMENTS INCLUDED IN LINE 1 FOR: </t>
  </si>
  <si>
    <t xml:space="preserve">      BASE PLAN UPGRADES (W/O INCENTIVES)</t>
  </si>
  <si>
    <t xml:space="preserve">      REQUESTED UPGRADES (W/O INCENTIVES)</t>
  </si>
  <si>
    <t xml:space="preserve">      ECONOMIC UPGRADES (W/O INCENTIVES)</t>
  </si>
  <si>
    <t xml:space="preserve">      SUBTOTAL</t>
  </si>
  <si>
    <t>EXISTING ZONAL ATRR (W/O INCENTIVES)</t>
  </si>
  <si>
    <t>INCENTIVE REVENUE REQUIREMENT FOR ZONAL PROJECTS</t>
  </si>
  <si>
    <t>RATE YEAR ZONAL ATRR (W/ INCENTIVES)</t>
  </si>
  <si>
    <t>Actual/Projected Rate Year AEP West Zone Average 12-Mo. Peak Demand, MW</t>
  </si>
  <si>
    <t>Less:  Load Dispatch - Scheduling, System Control and Dispatch Services (321.88.b)</t>
  </si>
  <si>
    <t>Less:  Load Dispatch - Reliability, Planning &amp; Standards Development Services (321.92.b)</t>
  </si>
  <si>
    <t>Less:  PTP Service Credit (prior year Sched 1 revenue from PTP transactions)</t>
  </si>
  <si>
    <t>ZONAL ARR FOR RATE YEAR</t>
  </si>
  <si>
    <t>Rate Year AEP West Zone SPP Average 12-Mo. Peak Demand</t>
  </si>
  <si>
    <t xml:space="preserve">AEP Schedule 11 Revenue Requirement Including True-Up of Prior Collections </t>
  </si>
  <si>
    <t>(L)</t>
  </si>
  <si>
    <t>(M)</t>
  </si>
  <si>
    <t>(O)</t>
  </si>
  <si>
    <t>Base ARR</t>
  </si>
  <si>
    <t>Incentive ARR</t>
  </si>
  <si>
    <t>Sheet Name</t>
  </si>
  <si>
    <t>Owner</t>
  </si>
  <si>
    <t>Project Description</t>
  </si>
  <si>
    <t>Year in Service</t>
  </si>
  <si>
    <t>Incentive</t>
  </si>
  <si>
    <t>True-up</t>
  </si>
  <si>
    <t>SOUTHWESTERN ELECTRIC POWER COMPANY</t>
  </si>
  <si>
    <t>SWEPCO Total</t>
  </si>
  <si>
    <t>Peak Day</t>
  </si>
  <si>
    <t>12 Month</t>
  </si>
  <si>
    <t xml:space="preserve">Line </t>
  </si>
  <si>
    <t>Peak Hour</t>
  </si>
  <si>
    <t>SPP Load Responsibility</t>
  </si>
  <si>
    <t>Supporting Data</t>
  </si>
  <si>
    <t>PSO:</t>
  </si>
  <si>
    <t xml:space="preserve">SWEPCO: </t>
  </si>
  <si>
    <t>Unless noted (e.g., PSO), the loads reported on lines 1 through 20 are the customer's schedule 9 and 11 load.</t>
  </si>
  <si>
    <t>System Firm Peak Demands</t>
  </si>
  <si>
    <t>Sched - 9 12CP</t>
  </si>
  <si>
    <t>`</t>
  </si>
  <si>
    <t xml:space="preserve">PSO OATT Load Responsibility </t>
  </si>
  <si>
    <t xml:space="preserve">SWEPCO OATT Load Responsibility </t>
  </si>
  <si>
    <t>pr yr</t>
  </si>
  <si>
    <t>Sched - 11 12CP</t>
  </si>
  <si>
    <t>AEP Schedule 11 Worksheet</t>
  </si>
  <si>
    <t>TOTAL AEP Affiliate Schedule 11 Load</t>
  </si>
  <si>
    <t>TOTAL AEP ZONAL SCHEDULE 11</t>
  </si>
  <si>
    <t xml:space="preserve">Combined Load Worksheet </t>
  </si>
  <si>
    <t>1650001</t>
  </si>
  <si>
    <t>Prepaid Insurance</t>
  </si>
  <si>
    <t>1650005</t>
  </si>
  <si>
    <t>Prepaid Employee Benefits</t>
  </si>
  <si>
    <t>1650006</t>
  </si>
  <si>
    <t>Other Prepayments</t>
  </si>
  <si>
    <t>1650009</t>
  </si>
  <si>
    <t>1650010</t>
  </si>
  <si>
    <t>Prepaid Pension Benefits</t>
  </si>
  <si>
    <t>Prepaid Sales Taxes</t>
  </si>
  <si>
    <t>Prepaid Use Taxes</t>
  </si>
  <si>
    <t>1650014</t>
  </si>
  <si>
    <t>FAS 158 Qual Contra Asset</t>
  </si>
  <si>
    <t>Prepaid Insurance - EIS</t>
  </si>
  <si>
    <t>Prepaid OCIP Work Comp</t>
  </si>
  <si>
    <t>PRW Without MED-D Benefits</t>
  </si>
  <si>
    <t>PRW for Med-D Benefits</t>
  </si>
  <si>
    <t>Tax Effect of Permanent and Flow Through Differences</t>
  </si>
  <si>
    <t>1650004</t>
  </si>
  <si>
    <t>Prepaid Interest</t>
  </si>
  <si>
    <t>FAS 112 ASSETS</t>
  </si>
  <si>
    <t>Prepaid Leases</t>
  </si>
  <si>
    <t>Prepaid OCIP Work Comp-Long Term</t>
  </si>
  <si>
    <t>Prepaid OCIP Work Comp-Affiliated</t>
  </si>
  <si>
    <t>Prepaid OCIP Work Comp-Affiliated Long Term</t>
  </si>
  <si>
    <t>FAS158 Contra-PRW Exclude Med-D</t>
  </si>
  <si>
    <t>Interest Accrual (Company Records)</t>
  </si>
  <si>
    <t>Revenue Credits to Generators (Company Records)</t>
  </si>
  <si>
    <t>Other Adjustments (Company Records)</t>
  </si>
  <si>
    <t>Account 457.1, Regional Control Service  Revenues (FF1 p.300.23.(b); Company Records - Note 1)</t>
  </si>
  <si>
    <t>Account 457.2, Miscellaneous Revenues (FF1p.300.24.(b); Company Records - Note 1)</t>
  </si>
  <si>
    <t>Note 1: Data for this worksheet came from the FERC Form 1 and the Company's General Ledger.</t>
  </si>
  <si>
    <t>Line:</t>
  </si>
  <si>
    <t>Account 456.1, Revenues from Transmission of Electricity of Others (FF1 p.300.22.(b); Company Records - Note 1)</t>
  </si>
  <si>
    <t>Worksheet H - Revenue Credits</t>
  </si>
  <si>
    <t>(Note A) (Worksheet H)</t>
  </si>
  <si>
    <t>Account 456.0 Other Operating Revenues  (FF1 p.300.21.(b); Company Records - Note 1)</t>
  </si>
  <si>
    <t>All Other 456.0 Revenues</t>
  </si>
  <si>
    <t>Total (FERC Form 1 p.323.189.b)</t>
  </si>
  <si>
    <t>Total (FERC Form 1 p.323.191.b)</t>
  </si>
  <si>
    <t>Total (FERC Form 1 p.323.192.b)</t>
  </si>
  <si>
    <t>Interest on Long Term Debt - Accts 221 - 224 (256-257.33.i)</t>
  </si>
  <si>
    <t>GP</t>
  </si>
  <si>
    <t>GP=</t>
  </si>
  <si>
    <t>NP=</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</si>
  <si>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</si>
  <si>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REGULATORY ASSETS</t>
  </si>
  <si>
    <t xml:space="preserve">Account 451, Misc. Service Revenues (FF1 p.300.17.(b); Company Records - Note 1) </t>
  </si>
  <si>
    <t xml:space="preserve">Total 456.0 Other Operating Revenues </t>
  </si>
  <si>
    <t>Account 190 Proration Adjustment</t>
  </si>
  <si>
    <t>Account 282 Proration Adjustment</t>
  </si>
  <si>
    <t xml:space="preserve">Note: This workpaper documents the calculation of the rate base adjustment to prorate forecasted activity in ADIT required by IRS regulation Section1.167(I)-I(h)(6)(ii) when preparing forecasted rates. This worksheet is not used during Annual True-Ups. Proratable activity in Account 282 results from the use of accelerated tax depreciation on additions to plant in service.  The adjustment on line 19 is included on Worksheet C as a reduction to the ending forecasted ADIT balance of account 282. A proration adjustment for account 190, if any, will be calculated beginning on line 20. </t>
  </si>
  <si>
    <t>Average Balance before Proration</t>
  </si>
  <si>
    <t>Transmission Allocator from TCOS</t>
  </si>
  <si>
    <r>
      <t xml:space="preserve">Transmission Allocator from </t>
    </r>
    <r>
      <rPr>
        <b/>
        <sz val="10"/>
        <rFont val="Arial"/>
        <family val="2"/>
      </rPr>
      <t>TCOS</t>
    </r>
  </si>
  <si>
    <t xml:space="preserve">AEP West SPP Member Operating Companies </t>
  </si>
  <si>
    <t xml:space="preserve">     Plus: Includable 561 and 565 Expenses</t>
  </si>
  <si>
    <t>Under Section 30.9 of the SPP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</si>
  <si>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Worksheet B</t>
  </si>
  <si>
    <r>
      <t>True</t>
    </r>
    <r>
      <rPr>
        <strike/>
        <sz val="12"/>
        <rFont val="Arial"/>
        <family val="2"/>
      </rPr>
      <t>d</t>
    </r>
    <r>
      <rPr>
        <sz val="12"/>
        <rFont val="Arial"/>
        <family val="2"/>
      </rPr>
      <t>-Up / Projected Revenue Requirement for SPP BPU Regional Facilities (w/o incentives)  (Worksheet F/G)</t>
    </r>
  </si>
  <si>
    <t>this is pre-1971 ITC balances, which are required to be taken as an offset to rate base. Account 281 is not allocated to transmission.  Transmission allocations are shown on</t>
  </si>
  <si>
    <t>Includes only FICA, unemployment,  property and other assessments charged in the current year.  Gross Receipts tax, Sales &amp; Use taxes, local franchise taxes, and taxes related to income are excluded.</t>
  </si>
  <si>
    <r>
      <t xml:space="preserve"> Worksheet B</t>
    </r>
    <r>
      <rPr>
        <sz val="12"/>
        <rFont val="Arial"/>
        <family val="2"/>
      </rPr>
      <t xml:space="preserve"> - Third Party Facility Credits</t>
    </r>
  </si>
  <si>
    <r>
      <rPr>
        <b/>
        <sz val="14"/>
        <rFont val="Arial"/>
        <family val="2"/>
      </rPr>
      <t xml:space="preserve">WORKSHEET C-1 </t>
    </r>
    <r>
      <rPr>
        <sz val="14"/>
        <rFont val="Arial"/>
        <family val="2"/>
      </rPr>
      <t>- END OF YEAR DETAIL OF DEFERRED INCOME TAX BALANCES</t>
    </r>
  </si>
  <si>
    <r>
      <rPr>
        <b/>
        <sz val="14"/>
        <rFont val="Arial"/>
        <family val="2"/>
      </rPr>
      <t xml:space="preserve">WORKSHEET C-2 </t>
    </r>
    <r>
      <rPr>
        <sz val="14"/>
        <rFont val="Arial"/>
        <family val="2"/>
      </rPr>
      <t>-BEGINNING OF YEAR DETAIL OF DEFERRED INCOME TAX BALANCES</t>
    </r>
  </si>
  <si>
    <r>
      <rPr>
        <b/>
        <sz val="14"/>
        <rFont val="Arial"/>
        <family val="2"/>
      </rPr>
      <t xml:space="preserve">WORKSHEET C-3 </t>
    </r>
    <r>
      <rPr>
        <sz val="14"/>
        <rFont val="Arial"/>
        <family val="2"/>
      </rPr>
      <t>-PRORATION OF PROPERTY-RELATED DEFERRED INCOME TAX BALANCES</t>
    </r>
  </si>
  <si>
    <t xml:space="preserve">&lt;==Incentive ROE </t>
  </si>
  <si>
    <r>
      <t xml:space="preserve"> </t>
    </r>
    <r>
      <rPr>
        <b/>
        <sz val="14"/>
        <rFont val="Arial"/>
        <family val="2"/>
      </rPr>
      <t>Worksheet F</t>
    </r>
    <r>
      <rPr>
        <sz val="14"/>
        <rFont val="Arial"/>
        <family val="2"/>
      </rPr>
      <t xml:space="preserve"> - Calculation of PROJECTED Annual Revenue Requirement for Base Plan and Special-Billed Projects</t>
    </r>
  </si>
  <si>
    <t>Requirement **</t>
  </si>
  <si>
    <t>with Incentives **</t>
  </si>
  <si>
    <t>** This is the calculation of  additional incentive revenue on projects deemed by the FERC to be eligible for an incentive return.  This</t>
  </si>
  <si>
    <t>&lt;==Incentive ROE</t>
  </si>
  <si>
    <r>
      <t xml:space="preserve"> </t>
    </r>
    <r>
      <rPr>
        <b/>
        <sz val="14"/>
        <rFont val="Arial"/>
        <family val="2"/>
      </rPr>
      <t>Worksheet G</t>
    </r>
    <r>
      <rPr>
        <sz val="14"/>
        <rFont val="Arial"/>
        <family val="2"/>
      </rPr>
      <t xml:space="preserve"> - Calculation of TRUED-UP Annual Revenue Requirement for Base Plan and Special-Billed Projects</t>
    </r>
  </si>
  <si>
    <t xml:space="preserve">**  This is the total amount that needs to be reported to SPP for billing to all regions. </t>
  </si>
  <si>
    <r>
      <t xml:space="preserve">** </t>
    </r>
    <r>
      <rPr>
        <b/>
        <sz val="10"/>
        <rFont val="Arial"/>
        <family val="2"/>
      </rPr>
      <t>This is the calculation of  additional incentive revenue on projects deemed by the FERC to be eligible for an incentive return.  This</t>
    </r>
  </si>
  <si>
    <t>Project Number</t>
  </si>
  <si>
    <t xml:space="preserve">Account 450, Forfeited Discounts (FF1 p.300.16.(b); Company Records - Note 1) </t>
  </si>
  <si>
    <t xml:space="preserve">Account 454, Rent from Electric Property (FF1 p.300.19.(b); Company Records - Note 1) </t>
  </si>
  <si>
    <t xml:space="preserve">          Net 456.1 Transmission Credits </t>
  </si>
  <si>
    <t>Note: This worksheet is used to include any FERC jurisdictional transmission-related (i.e. non-retail) expenses recorded in Accounts 561 or 565 which are includable in the formula on TCOS line 66,  and make any other necessary FERC jursdictional adjustments to Transmission O&amp;M.</t>
  </si>
  <si>
    <t>Taxable Percentage of Revenue</t>
  </si>
  <si>
    <t>Texas Gross Margin Tax Rate</t>
  </si>
  <si>
    <t>Amort of Debt Discount &amp; Expense - Acct 428 (117.63.c)</t>
  </si>
  <si>
    <t>Amort of Loss on Reacquired Debt - Acct 428.1 (117.64.c)</t>
  </si>
  <si>
    <t>Less: Amort of Premium on Debt - Acct 429 (117.65.c)</t>
  </si>
  <si>
    <t>Less: Amort of Gain on Reacquired Debt - Acct 429.1 (117.66.c)</t>
  </si>
  <si>
    <t>ADDITIONAL REVENUE REQUIREMENT for projects w/ incentive ROE's (Note C) (Worksheet F/G)</t>
  </si>
  <si>
    <t>REVENUE REQUIREMENT INCL GROSS MARGIN TAX</t>
  </si>
  <si>
    <t>General Note: True Up References to data from FERC Form 1 are indicated as:  page#.line#.col.#. Rate Year Projections from Company forecasts.</t>
  </si>
  <si>
    <t>Company Records</t>
  </si>
  <si>
    <t>U</t>
  </si>
  <si>
    <t>PUBLIC SERVICE COMPANY OF OKLAHOMA</t>
  </si>
  <si>
    <t xml:space="preserve">State Income Tax Rate - </t>
  </si>
  <si>
    <t>Prepaid Carry Cost-Factored</t>
  </si>
  <si>
    <t>Trinity Rail Car Lease - Non-current</t>
  </si>
  <si>
    <t>Recoverable PBOP expense is based on actual annual PBOP costs, including charges from the AEP Service Corporation. The PBOP amounts are included in the Administrative and General total, and are based on current year expenses.  The annual actuarial valuation report supporting the derivation of the PBOP expense, along with an explanation of PBOP derivation process, is submitted during the formula rate annual update.</t>
  </si>
  <si>
    <t xml:space="preserve">The Texas Gross Margin tax is calculated on the Texas allocated revenue of the Company, reduced by cost of goods sold deduction to derive a </t>
  </si>
  <si>
    <t xml:space="preserve">SPP Zone 1 Actual/ Projected AEP Revenue Requirements </t>
  </si>
  <si>
    <t>Company Records (Note O)</t>
  </si>
  <si>
    <t>336.1.d</t>
  </si>
  <si>
    <t>General Plant and Administrative &amp; General expenses may be functionalized based on allocators other than the W/S allocator.  Full documentation must be provided.</t>
  </si>
  <si>
    <t xml:space="preserve">       Taxable Percentage of Revenue</t>
  </si>
  <si>
    <t>*&lt;$100K investment,</t>
  </si>
  <si>
    <t>Total Adjustments before Interest</t>
  </si>
  <si>
    <r>
      <t xml:space="preserve">Calculation of Schedule </t>
    </r>
    <r>
      <rPr>
        <sz val="12"/>
        <rFont val="Arial"/>
        <family val="2"/>
      </rPr>
      <t>11 Revenue Requirements For AEP Transmission Projects</t>
    </r>
  </si>
  <si>
    <t>AEP Transmission Formula Rate Template</t>
  </si>
  <si>
    <t>Rate Year ending balance</t>
  </si>
  <si>
    <t>Rate Year beginning balance</t>
  </si>
  <si>
    <t>Note:  Project's whose investment cost do NOT meet SPP's $100,000 threshold for 'regional' socialization are marked with an asterik "*" as SPP will only collect those ATRRs from the zone.</t>
  </si>
  <si>
    <t>Worksheet N - Schedule 11 True-up With Interest</t>
  </si>
  <si>
    <t>True-up Adjustment - Over (Under) Recovery</t>
  </si>
  <si>
    <t>True Up Year:</t>
  </si>
  <si>
    <t>Intermediate Year:</t>
  </si>
  <si>
    <t>-</t>
  </si>
  <si>
    <t>=</t>
  </si>
  <si>
    <t>Rate Year:</t>
  </si>
  <si>
    <t>Month</t>
  </si>
  <si>
    <t>Refunds/
(Surcharges)</t>
  </si>
  <si>
    <t>Cumulative Refunds/(Surcharges) - Beginning of Month (Without Interest)</t>
  </si>
  <si>
    <t>Base for Quarterly Compound Interest</t>
  </si>
  <si>
    <t>Base for Monthly Interest</t>
  </si>
  <si>
    <t>Calculated Interest</t>
  </si>
  <si>
    <t>Amortization</t>
  </si>
  <si>
    <t>Cumulative Refunds and Interest - End of Month</t>
  </si>
  <si>
    <t>Calculation of Interest</t>
  </si>
  <si>
    <t>Intermediate Year</t>
  </si>
  <si>
    <t>Over (Under) Recovery Plus Interest Amortized and Recovered Over 12 Months</t>
  </si>
  <si>
    <t>True-Up Adjustment with Interest</t>
  </si>
  <si>
    <t>Less Over (Under) Recovery</t>
  </si>
  <si>
    <t>Total Interest</t>
  </si>
  <si>
    <t>Worksheet O - Schedule 9 NITS True-up With Interest</t>
  </si>
  <si>
    <t>Applicable FERC Interest Rate (Note A):</t>
  </si>
  <si>
    <t>Schedule 11 Base Plan True Up</t>
  </si>
  <si>
    <t>Line 
No</t>
  </si>
  <si>
    <t>Production</t>
  </si>
  <si>
    <t>Production ARO</t>
  </si>
  <si>
    <t>Transmission ARO</t>
  </si>
  <si>
    <t>Distribution</t>
  </si>
  <si>
    <t>Distribution ARO</t>
  </si>
  <si>
    <t>General</t>
  </si>
  <si>
    <t>General ARO</t>
  </si>
  <si>
    <t>Intangible</t>
  </si>
  <si>
    <t>(a)</t>
  </si>
  <si>
    <t>(b)</t>
  </si>
  <si>
    <t>(c)</t>
  </si>
  <si>
    <t>(d)</t>
  </si>
  <si>
    <t>(e)</t>
  </si>
  <si>
    <t>(f)</t>
  </si>
  <si>
    <t>(g)</t>
  </si>
  <si>
    <t>Acct. 359.1
FF1, page 207 Col.(g) &amp; pg. 206 Col. (b), ln 57</t>
  </si>
  <si>
    <t xml:space="preserve">
FF1, page 207 Col.(g) &amp; pg. 206 Col. (b), ln 99</t>
  </si>
  <si>
    <t>Acct. 399.1
FF1, page 207 Col.(g) &amp; pg. 206 Col. (b), ln 98</t>
  </si>
  <si>
    <t>December Prior to Rate Year</t>
  </si>
  <si>
    <t xml:space="preserve">March </t>
  </si>
  <si>
    <t xml:space="preserve">August </t>
  </si>
  <si>
    <t>December  of Rate Year</t>
  </si>
  <si>
    <t>Company Records (Included in total in Column (b))</t>
  </si>
  <si>
    <t>Company Records (Included in total in Column (d))</t>
  </si>
  <si>
    <t>Gross Plant In Service - Production</t>
  </si>
  <si>
    <t>Gross Plant In Service - Distribution, General and Intangible, GSU, Excluded Plant</t>
  </si>
  <si>
    <t>Accumulated Depreciation- Distribution, General and Intangible, GSU, Excluded Plant</t>
  </si>
  <si>
    <t>Accumulated Deprecication - Production</t>
  </si>
  <si>
    <t>OATT Ancillary Services (GSU)</t>
  </si>
  <si>
    <t>Excluded Plant</t>
  </si>
  <si>
    <r>
      <t xml:space="preserve"> Worksheet A-2</t>
    </r>
    <r>
      <rPr>
        <sz val="12"/>
        <rFont val="Arial"/>
        <family val="2"/>
      </rPr>
      <t xml:space="preserve">  - Detailed Accumulated Depreciation Balances</t>
    </r>
  </si>
  <si>
    <r>
      <t xml:space="preserve"> Worksheet A-1</t>
    </r>
    <r>
      <rPr>
        <sz val="12"/>
        <rFont val="Arial"/>
        <family val="2"/>
      </rPr>
      <t xml:space="preserve">  - Detailed Plant Balances</t>
    </r>
  </si>
  <si>
    <t xml:space="preserve">Total </t>
  </si>
  <si>
    <t>Asset Description</t>
  </si>
  <si>
    <t>Definite Plan for Future Use</t>
  </si>
  <si>
    <t>Estimated in Service Year</t>
  </si>
  <si>
    <t>The cost of service will make a rate base adjustment to remove unfunded reserves associated with contingent liabilites recorded to Accounts 228.1-228.4 from rate base.</t>
  </si>
  <si>
    <t>V</t>
  </si>
  <si>
    <t xml:space="preserve">  Total </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</si>
  <si>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</si>
  <si>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t>Note 1:</t>
  </si>
  <si>
    <t xml:space="preserve">     Less : Regulatory Amortizations / (Deferrals)</t>
  </si>
  <si>
    <t xml:space="preserve">     Plus : Approved Regulatory Amortizations / (Deferrals)</t>
  </si>
  <si>
    <t>FERC Docket</t>
  </si>
  <si>
    <t xml:space="preserve">   Net Amortization / (Deferral)</t>
  </si>
  <si>
    <t xml:space="preserve">   Net Approved Amortization / (Deferral)</t>
  </si>
  <si>
    <t>Notes:</t>
  </si>
  <si>
    <t>Transmission Functional Plant Held For Future Use (Notes A and B)</t>
  </si>
  <si>
    <t xml:space="preserve">Include only the Transmission functional component of amounts reported page 214 of the FERC Form 1. </t>
  </si>
  <si>
    <t xml:space="preserve">Per the general instruction for Account No. 105 in 18 CFR Part 101. </t>
  </si>
  <si>
    <t>FERC Approval Docket</t>
  </si>
  <si>
    <t>Recovery Start Date</t>
  </si>
  <si>
    <t>Recovery Period (Months)</t>
  </si>
  <si>
    <t>Transmission Balance</t>
  </si>
  <si>
    <t xml:space="preserve">   Total</t>
  </si>
  <si>
    <t>Form 1 Reference</t>
  </si>
  <si>
    <t>Amort. / Deferral Account</t>
  </si>
  <si>
    <t>Functional Allocator Value</t>
  </si>
  <si>
    <t>Regulatory Asset Amortizations / (Deferrals) in O&amp;M (Note 1)</t>
  </si>
  <si>
    <t>FERC Approved Regulatory Amortizations / (Deferrals) in O&amp;M (Note 2)</t>
  </si>
  <si>
    <t>Include all amortizations and deferrals of regulatory assets included in accounts in A&amp;G expense on FERC Form 1 p. 321, ln 197, except amounts in Account 928, 930.1, and 930.2, which are accounted for on Worksheet J.</t>
  </si>
  <si>
    <t>Reg Asset Amortizations / (Deferrals) in A&amp;G (Note 3)</t>
  </si>
  <si>
    <t>FERC Approved Reg Amortizations / (Deferrals) in A&amp;G (Note 4)</t>
  </si>
  <si>
    <t>Include all regulatory asset amortizations and deferrals included in accounts in Transmission O&amp;M on FERC Form 1 p. 321, ln 122. Exclude all Distribution and Production-related items.</t>
  </si>
  <si>
    <t xml:space="preserve">               Regulatory Asset Amortizations / (Deferrals)</t>
  </si>
  <si>
    <t xml:space="preserve">           Approved A&amp;G Reg. Asset  Amort. / (Deferrals)</t>
  </si>
  <si>
    <t>Regulatory Assets Included in Rate Base (Note 5)</t>
  </si>
  <si>
    <t>O&amp;M and A&amp;G shall be adjusted to remove all regulatory asset deferrals and amortizations that have not been approved by FERC for inclusion in cost of service, and then to add back in FERC approved amortizations and deferrals. Negative amounts in O&amp;M or A&amp;G represent deferrals. See Worksheet S.</t>
  </si>
  <si>
    <t>Functional Allocator (Note 6)</t>
  </si>
  <si>
    <t>Balances direct assigned to Transmission except for payroll-related balances, which will be allocated using a wages and salaries allocator.</t>
  </si>
  <si>
    <t>See referenced FERC docket for details of Regulatory Assets approved for inclusion in rate base. Include only the Transmission functional balance for assets which have both Transmission and Distribution components.</t>
  </si>
  <si>
    <t>Expense Account</t>
  </si>
  <si>
    <t xml:space="preserve">Formula </t>
  </si>
  <si>
    <t>Note - The cost of service will make a rate base adjustment to remove unfunded reserves associated with contingent liabilites recorded to Accounts 228.1-228.4 from rate base. Include only contingent liabilities which were expensed through accounts included in formula rate cost of service.</t>
  </si>
  <si>
    <t>SUMMARY OF TOTAL DEPRECIATION RATES</t>
  </si>
  <si>
    <t>TRANSMISSION PLANT</t>
  </si>
  <si>
    <t>Acct. No.</t>
  </si>
  <si>
    <t>Account Title</t>
  </si>
  <si>
    <t>Total Depr Rates</t>
  </si>
  <si>
    <t>Land Rights</t>
  </si>
  <si>
    <t>Structures &amp; Improvements</t>
  </si>
  <si>
    <t>Station Equipment</t>
  </si>
  <si>
    <t xml:space="preserve">Towers &amp; Fixtures  </t>
  </si>
  <si>
    <t>Poles &amp; Fixtures</t>
  </si>
  <si>
    <t>OH Conductor &amp; Devices</t>
  </si>
  <si>
    <t>Underground Conductor</t>
  </si>
  <si>
    <t xml:space="preserve">GENERAL PLANT      </t>
  </si>
  <si>
    <t>Office Furniture</t>
  </si>
  <si>
    <t xml:space="preserve">Office Equipment - Computers </t>
  </si>
  <si>
    <t xml:space="preserve">Transportation Equipment </t>
  </si>
  <si>
    <t>Stores Equipment</t>
  </si>
  <si>
    <t>Tools Shop &amp; Garage Equipment</t>
  </si>
  <si>
    <t>Laboratory Equipment</t>
  </si>
  <si>
    <t>Power Operated Equip</t>
  </si>
  <si>
    <t>Communication Equip - Amortized</t>
  </si>
  <si>
    <t>AMI - Communication Equipment</t>
  </si>
  <si>
    <t>Miscellaneous Equipment</t>
  </si>
  <si>
    <t>CALCULATION WEIGHTED AVERAGE TOTAL COMPANY RATES</t>
  </si>
  <si>
    <t>TOTAL</t>
  </si>
  <si>
    <t>LOUISIANA</t>
  </si>
  <si>
    <t>ARKANSAS</t>
  </si>
  <si>
    <t>TEXAS</t>
  </si>
  <si>
    <t>FERC - Wholesale</t>
  </si>
  <si>
    <t>COMPANY</t>
  </si>
  <si>
    <t>WTD AVG.</t>
  </si>
  <si>
    <t>PLANT</t>
  </si>
  <si>
    <t>LA</t>
  </si>
  <si>
    <t>ALLOCATION</t>
  </si>
  <si>
    <t>DEPREC.</t>
  </si>
  <si>
    <t>ACCT.</t>
  </si>
  <si>
    <t xml:space="preserve">RATES (2) </t>
  </si>
  <si>
    <t>FACTOR</t>
  </si>
  <si>
    <t>RATE</t>
  </si>
  <si>
    <t>RATES (3)</t>
  </si>
  <si>
    <t>RATES (4)</t>
  </si>
  <si>
    <t>RATES (1)</t>
  </si>
  <si>
    <t xml:space="preserve"> TRANSMISSION PLANT</t>
  </si>
  <si>
    <t xml:space="preserve"> GENERAL PLANT</t>
  </si>
  <si>
    <t>1.  FERC effective June 1, 2018 to match the Texas depreciation rates approved in PUC Docket No. 46449 in accordance with the settlement in FERC Docket ER18-195</t>
  </si>
  <si>
    <t>2.  Louisiana transmission, distribution and general depreciation rates were approved at the LA Public Service Commission session dated November 17, 1999 as per Order U-23029-A.</t>
  </si>
  <si>
    <t>4.  Texas depreciation rates were approved on January 11, 2018 in PUC Docket 46449, the rates were made effective on May 20, 2017.</t>
  </si>
  <si>
    <t>Amounts to be prorated include only line items related to the difference between book and tax depreciation expense.  This includes the line item labeled 230A, and any other such items</t>
  </si>
  <si>
    <t>Transmission Function</t>
  </si>
  <si>
    <t>Rate Year Beginning Accumulated Amortization</t>
  </si>
  <si>
    <t>Rate year Ending Accumulated Amortization</t>
  </si>
  <si>
    <t xml:space="preserve">Account </t>
  </si>
  <si>
    <t>Unprotected ADIT  Balances</t>
  </si>
  <si>
    <t>Annual Transmission Function Amortization</t>
  </si>
  <si>
    <t>XXXXXXX</t>
  </si>
  <si>
    <t>NOTES</t>
  </si>
  <si>
    <t xml:space="preserve">Include only excess DFIT recorded in accounts which are included in the formula rate cost of service. These include one or more subaccounts within accounts 190.1, 282.1, and 283.1. </t>
  </si>
  <si>
    <t>Company records</t>
  </si>
  <si>
    <t>Protected ADIT  Balances</t>
  </si>
  <si>
    <t>Rate Year Ending Balance Per Books - Total Company</t>
  </si>
  <si>
    <t>WS C-1 960F XS Unprotected</t>
  </si>
  <si>
    <t>WS C-1 960F XS Protected</t>
  </si>
  <si>
    <t>Worksheet C-1 Rate Base Excluded Balance</t>
  </si>
  <si>
    <t>Rate Year Ending Included Balance - 100% Transmission Function net of amortization</t>
  </si>
  <si>
    <t>Settlement Amortization period</t>
  </si>
  <si>
    <t>Rate Year Beginning Included Balance - 100% Transmission Function net of amortization</t>
  </si>
  <si>
    <t>Rate Year Beginning Balance Per Books - Total Company</t>
  </si>
  <si>
    <t>Worksheet C-2 Rate Base Excluded Balance</t>
  </si>
  <si>
    <t>WS C-2 960F XS Unprotected</t>
  </si>
  <si>
    <t>WS C-2 960F XS Protected</t>
  </si>
  <si>
    <t>WS C-2 Beginning Balance Per Books - Total Company</t>
  </si>
  <si>
    <t>WS C-1 Ending Balance Net of Accumulated Amortization Per Books - Total Company</t>
  </si>
  <si>
    <t>Beginning Accumulated Amortization</t>
  </si>
  <si>
    <t>Ending Accumulated Amortization</t>
  </si>
  <si>
    <t>Unprotected</t>
  </si>
  <si>
    <t>Protected</t>
  </si>
  <si>
    <t xml:space="preserve">    Total</t>
  </si>
  <si>
    <t>Annual Amortization of Excess ADIT</t>
  </si>
  <si>
    <t xml:space="preserve">Privileged and Confidential Settlement Communication — Subject to FERC Rules 602 and 606
</t>
  </si>
  <si>
    <t>Non-Allocable Taxes</t>
  </si>
  <si>
    <t>UNFUNDED RESERVES (ENTER NEGATIVE) (NOTE U)</t>
  </si>
  <si>
    <t>Balance  per Books- Transmission Function only (190 enter positive, 282/283 enter negative)</t>
  </si>
  <si>
    <t>Prepayments Account 165</t>
  </si>
  <si>
    <t>Monthly Balances</t>
  </si>
  <si>
    <t>(K)</t>
  </si>
  <si>
    <t>(N)</t>
  </si>
  <si>
    <t>Line Number</t>
  </si>
  <si>
    <t>(P)</t>
  </si>
  <si>
    <t>Total - December Balances tie to Form 1, p 111.57.c  and d</t>
  </si>
  <si>
    <t>Line item balances obtained from Company Records</t>
  </si>
  <si>
    <t>(Q)</t>
  </si>
  <si>
    <t>Source - December Balances</t>
  </si>
  <si>
    <t>Proprietary Capital</t>
  </si>
  <si>
    <t>Less: Preferred Stock</t>
  </si>
  <si>
    <t>Less Undistributed Sub Earnings (Acct 216.1)</t>
  </si>
  <si>
    <t>Less AOCI (Acct 219.1)</t>
  </si>
  <si>
    <t>(f)=(b)-( c)-(d)-( e)</t>
  </si>
  <si>
    <t>(Note A)</t>
  </si>
  <si>
    <t xml:space="preserve"> (FF1 112.16)</t>
  </si>
  <si>
    <t xml:space="preserve"> (FF1 250-251)</t>
  </si>
  <si>
    <t xml:space="preserve"> (FF1 112.12)</t>
  </si>
  <si>
    <t>(FF1 112.15)</t>
  </si>
  <si>
    <t>Average Balance of Long Term Debt</t>
  </si>
  <si>
    <t>Acct 221 
Bonds</t>
  </si>
  <si>
    <t>Less: Acct 222 Reacquired Bonds</t>
  </si>
  <si>
    <t>Acct 223 
LT Advances from Assoc. Companies</t>
  </si>
  <si>
    <t>Acct 224
Senior Unsecured Notes</t>
  </si>
  <si>
    <t>Less: Fair Value Hedges</t>
  </si>
  <si>
    <t>Gross Proceeds Outstanding Long-Term Debt</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</si>
  <si>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</si>
  <si>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</si>
  <si>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</si>
  <si>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</si>
  <si>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</si>
  <si>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</si>
  <si>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</si>
  <si>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CALCULATION OF RECOVERABLE HEDGE GAINS/LOSSES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</si>
  <si>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</si>
  <si>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Amortization Period</t>
  </si>
  <si>
    <t>HEDGE AMOUNTS BY ISSUANCE (FROM p. 256-257 (i) of the FERC Form 1)</t>
  </si>
  <si>
    <t>Net Includable Hedge Amount</t>
  </si>
  <si>
    <t>Remaining Unamortized Balance</t>
  </si>
  <si>
    <t>Dividends on Preferred Stock</t>
  </si>
  <si>
    <t xml:space="preserve"> Worksheet M - Cost of Capital</t>
  </si>
  <si>
    <t xml:space="preserve">Include only regulatory asset amortizations and deferrals included in accounts in Transmission O&amp;M approved by FERC for inclusion in cost of service. </t>
  </si>
  <si>
    <t xml:space="preserve">Include only regulatory asset amortizations and deferrals included in accounts in A&amp;G expense approved by FERC for inclusion in cost of service. </t>
  </si>
  <si>
    <t>336.7.b</t>
  </si>
  <si>
    <t>336.10.b</t>
  </si>
  <si>
    <t>included as revenue credits.   See Worksheet H for details.</t>
  </si>
  <si>
    <t>The gross plant, accumulated depreciation, and deferred tax balances included in rate base and depreciation expense are reduced by the removal of amounts related to Asset Retirement Obligations  (AROs). This is to comply with the requirements of FERC Rulemaking RM02-7-000.</t>
  </si>
  <si>
    <t>Expense reported for these A&amp;G accounts will be included in the cost of service only to the extent they are directly assignable or allocable to transmission service. Worksheet J allocates</t>
  </si>
  <si>
    <t>expenses incurred by the transmission function for Associated Business Development revenues given as a credit to the TCOS on Worksheet H.</t>
  </si>
  <si>
    <r>
      <t xml:space="preserve"> Worksheet C-4</t>
    </r>
    <r>
      <rPr>
        <sz val="12"/>
        <color theme="1"/>
        <rFont val="Arial"/>
        <family val="2"/>
      </rPr>
      <t xml:space="preserve"> - Excess Deferred Federal Income Taxes</t>
    </r>
  </si>
  <si>
    <t>Rate Year ending balance (Note 1)</t>
  </si>
  <si>
    <t>Rate Year beginning balance (Note 1)</t>
  </si>
  <si>
    <r>
      <t>Worksheet D</t>
    </r>
    <r>
      <rPr>
        <sz val="12"/>
        <rFont val="Arial"/>
        <family val="2"/>
      </rPr>
      <t xml:space="preserve"> - Materials and Supplies and Prepayments</t>
    </r>
  </si>
  <si>
    <t>Stores Expense (Undistributed) - Account 163</t>
  </si>
  <si>
    <t>WS D, p. 2 of 2, Col. (D), line 1</t>
  </si>
  <si>
    <t>WS D, p. 2 of 2, Col. (D), line 3</t>
  </si>
  <si>
    <t>WS D, p. 2 of 2, Col. (D), line 2</t>
  </si>
  <si>
    <t>Excess / (Deficit) Deferred Income Taxes will be amortized over the average remaining life of the assets to which it relates, unless the Commission requires a different amortization period. Recovery of permanent and flow through differences is limited to only the transmission functional portion of the tax difference related to capitalized AFUDC Equity.</t>
  </si>
  <si>
    <r>
      <t xml:space="preserve"> Worksheet S</t>
    </r>
    <r>
      <rPr>
        <sz val="12"/>
        <rFont val="Arial"/>
        <family val="2"/>
      </rPr>
      <t xml:space="preserve"> - Regulatory Assets</t>
    </r>
  </si>
  <si>
    <r>
      <t xml:space="preserve"> Worksheet T</t>
    </r>
    <r>
      <rPr>
        <sz val="12"/>
        <rFont val="Arial"/>
        <family val="2"/>
      </rPr>
      <t xml:space="preserve"> - Depreciation Rates</t>
    </r>
  </si>
  <si>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t>
    </r>
  </si>
  <si>
    <r>
      <rPr>
        <b/>
        <sz val="12"/>
        <rFont val="Arial Narrow"/>
        <family val="2"/>
      </rPr>
      <t>Note 2:</t>
    </r>
    <r>
      <rPr>
        <sz val="12"/>
        <rFont val="Arial Narrow"/>
        <family val="2"/>
      </rPr>
      <t xml:space="preserve"> An over or under collection for the Schedule 1 NITS charge will be recovered prorata over the true-up year, held through June of the intermediate year and charged/refunded in a lump sum during July of the intermediate year. Schedule 1 Point to Point revenues are not subject to true up.</t>
    </r>
  </si>
  <si>
    <r>
      <rPr>
        <b/>
        <sz val="12"/>
        <rFont val="Arial Narrow"/>
        <family val="2"/>
      </rPr>
      <t>Note 2:</t>
    </r>
    <r>
      <rPr>
        <sz val="12"/>
        <rFont val="Arial Narrow"/>
        <family val="2"/>
      </rPr>
      <t xml:space="preserve"> An over or under collection for the Schedule 9 charge will be recovered prorata over the true-up year, held through June of the intermediate year and charged/refunded in a lump sum during July of the intermediate year.</t>
    </r>
  </si>
  <si>
    <t>Worksheet Q - True-up Interest Rates</t>
  </si>
  <si>
    <t>Worksheet P - Schedule 1 NITS True-up With Interest</t>
  </si>
  <si>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  The monthly interest rate to be applied to the over recovery or under recovery amounts each month during the rate year will equal a simple average of the 12 monthly interest rates for the intermediate year.</t>
    </r>
  </si>
  <si>
    <r>
      <rPr>
        <b/>
        <sz val="12"/>
        <rFont val="Arial Narrow"/>
        <family val="2"/>
      </rPr>
      <t>Note 2:</t>
    </r>
    <r>
      <rPr>
        <sz val="12"/>
        <rFont val="Arial Narrow"/>
        <family val="2"/>
      </rPr>
      <t xml:space="preserve"> An over or under collection for the Schedule 11 charge will be recovered prorata over the true-up year, held for the intermediate year and returned prorata over the rate year.</t>
    </r>
  </si>
  <si>
    <r>
      <t xml:space="preserve"> Worksheet R</t>
    </r>
    <r>
      <rPr>
        <sz val="12"/>
        <rFont val="Arial"/>
        <family val="2"/>
      </rPr>
      <t xml:space="preserve">  - Unfunded Reserves</t>
    </r>
  </si>
  <si>
    <t>Monthly Interest Rate (Worksheet Q)</t>
  </si>
  <si>
    <t>This Attachment is used to input and compute the interest rates to be applied to each year's revenue requirement true-ups.</t>
  </si>
  <si>
    <t>Note A - Lines 1-20 are the FERC interest rates under section 35.19a  of the regulations for the period shown, as posted at https://www.ferc.gov/enforcement/acct-matts/interest-rates.asp.</t>
  </si>
  <si>
    <r>
      <t xml:space="preserve">TRUE-UP Adjustment </t>
    </r>
    <r>
      <rPr>
        <sz val="10"/>
        <rFont val="Arial"/>
        <family val="2"/>
      </rPr>
      <t>(WS-G)</t>
    </r>
  </si>
  <si>
    <t>Interest</t>
  </si>
  <si>
    <t>Actual Rate Year True Up Revenue Requirement</t>
  </si>
  <si>
    <t>Projected Rate Year Revenue Requirement</t>
  </si>
  <si>
    <t>Projected</t>
  </si>
  <si>
    <t>Removes plant excluded from the OATT because it does not meet the SPP's definition of Transmission Facilities or is otherwise ineligible to be recovered under the OATT.</t>
  </si>
  <si>
    <t>Note 1 - These depreciation and amortization rates will not be changed absent a Section 205 or 206 filing at the Commission.</t>
  </si>
  <si>
    <t>TRANSMISSION, GENERAL AND INTANGIBLE PLANT</t>
  </si>
  <si>
    <t>W</t>
  </si>
  <si>
    <t>If the company submits a Section 205 filing proposing to make adjustments to this formula rate cost of service template to remove assets and costs related to transmission facilities constructed and operated specifically for the purpose of delivering the output of generation facilities, including generation tie-lines, which do not qualify under the SPP OATT for inclusion in transmission cost of service, challenges to such filing(s) shall be limited to the justness and reasonableness of such proposal.</t>
  </si>
  <si>
    <t>X</t>
  </si>
  <si>
    <t>If the company submits a Section 205 filing proposing to make adjustments to this formula rate cost of service template to remove from the cost of capital the debt and related interest costs incurred in connection with financing specifically dedicated to non-transmission-related assets, such as securitization financing, challenges to such filing(s) shall be limited to the justness and reasonableness of such proposal’s impacts on the Company’s cost of capital.</t>
  </si>
  <si>
    <t>TRANSMISSION PLANT INCLUDED IN SPP TARIFF (Note W)</t>
  </si>
  <si>
    <t>WEIGHTED AVERAGE COST OF CAPITAL (WACC) (Note T, Note X)</t>
  </si>
  <si>
    <t>Schedule 11 Revenue Credits and SPP Billing Adjustments</t>
  </si>
  <si>
    <t>Total True Up net of revenue credits, including interest</t>
  </si>
  <si>
    <t>PSOTotal</t>
  </si>
  <si>
    <t>Cash Revenue Collections for True-up Year, Net of Schedule 11 Revenue Credits</t>
  </si>
  <si>
    <t>Cash Revenue Collections for True-up Year, Net of Schedule 9 Revenue Credits</t>
  </si>
  <si>
    <t>Cash Revenue Collections for True-up Year, Net of Schedule 1 Revenue Credits</t>
  </si>
  <si>
    <t>State Income Tax Rate - Texas</t>
  </si>
  <si>
    <t>State Income Tax Rate - Arkansas</t>
  </si>
  <si>
    <t>State Income Tax Rate - Louisiana</t>
  </si>
  <si>
    <t>State Income Tax Rate - Nebraska</t>
  </si>
  <si>
    <t>TX Gross Receipts/OH CAT Tax</t>
  </si>
  <si>
    <t>Oklahoma Ad Valorum</t>
  </si>
  <si>
    <t>Arkansas Ad Valorum</t>
  </si>
  <si>
    <t>Louisiana Ad Valorum</t>
  </si>
  <si>
    <t>Texas Ad Valorum</t>
  </si>
  <si>
    <t xml:space="preserve">Federal Insurance Contribution (FICA ) </t>
  </si>
  <si>
    <t xml:space="preserve">Federal Unemployment Tax </t>
  </si>
  <si>
    <t xml:space="preserve">State Unemployment Insurance </t>
  </si>
  <si>
    <t>Federal Excise Tax</t>
  </si>
  <si>
    <t>LA State Franchise</t>
  </si>
  <si>
    <t>DE State Franchise</t>
  </si>
  <si>
    <t>AR State Franchise</t>
  </si>
  <si>
    <t>Ok State Franchise Tax</t>
  </si>
  <si>
    <t>Ok  State License</t>
  </si>
  <si>
    <t>AR State License</t>
  </si>
  <si>
    <t>NE State License</t>
  </si>
  <si>
    <t>DE State License</t>
  </si>
  <si>
    <t>AR Local Franchise</t>
  </si>
  <si>
    <t>TX Local Franchise</t>
  </si>
  <si>
    <t>TX State Franchise</t>
  </si>
  <si>
    <t>LA Local Franchise</t>
  </si>
  <si>
    <t>AR Sales &amp; Use Tax</t>
  </si>
  <si>
    <t>LA Sales &amp; Use Tax</t>
  </si>
  <si>
    <t>NE Sales &amp; Use Tax</t>
  </si>
  <si>
    <t>Ok Sales &amp; Use Tax</t>
  </si>
  <si>
    <t>TX Sales &amp; Use Tax</t>
  </si>
  <si>
    <t>TX PUC</t>
  </si>
  <si>
    <t>LA Insp &amp; Cntrl Fees</t>
  </si>
  <si>
    <t>LA State Licence Registration</t>
  </si>
  <si>
    <t>LA PUC</t>
  </si>
  <si>
    <t>AR PUC</t>
  </si>
  <si>
    <t>OH CAT Tax</t>
  </si>
  <si>
    <t>Ok  Sales &amp; Use Taxes</t>
  </si>
  <si>
    <t xml:space="preserve">Ok Lsd PP Tax </t>
  </si>
  <si>
    <t>State License Fee</t>
  </si>
  <si>
    <t>Tx Sales &amp; Use Taxes</t>
  </si>
  <si>
    <t xml:space="preserve">TX Lsd PP Tax </t>
  </si>
  <si>
    <t>Ok Misc Tax</t>
  </si>
  <si>
    <t>MT Misc Tax</t>
  </si>
  <si>
    <t>Wy Misc Tax</t>
  </si>
  <si>
    <t xml:space="preserve"> Plant Held For Future Use  </t>
  </si>
  <si>
    <t xml:space="preserve"> Transmission Plant Held for Future  </t>
  </si>
  <si>
    <t>Senior Unsecured Notes, Series 1 - 4.4% Financial Hedges</t>
  </si>
  <si>
    <t xml:space="preserve">Transmission Plant Held for Future </t>
  </si>
  <si>
    <t>SFAS 106 Medicare Subsidy</t>
  </si>
  <si>
    <t>Deferred Storm Restoration Expenses–Relating to major storms</t>
  </si>
  <si>
    <t>9301XXX</t>
  </si>
  <si>
    <t>2282003</t>
  </si>
  <si>
    <t>Accm Prv I/D - Worker's Com</t>
  </si>
  <si>
    <t>Excluded</t>
  </si>
  <si>
    <t>201300217 &amp; 201700151</t>
  </si>
  <si>
    <t>Informational ONLY</t>
  </si>
  <si>
    <t>AEP TOTALS</t>
  </si>
  <si>
    <t>----&gt; this value goes to PSO Sched 11 Rates sheet.</t>
  </si>
  <si>
    <t>----&gt; this value goes to SWE Sched 11 Rates sheet.</t>
  </si>
  <si>
    <t>P.001</t>
  </si>
  <si>
    <t>PSO</t>
  </si>
  <si>
    <t>P.002</t>
  </si>
  <si>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</si>
  <si>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</si>
  <si>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</si>
  <si>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</si>
  <si>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</si>
  <si>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</si>
  <si>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</si>
  <si>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</si>
  <si>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</si>
  <si>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</si>
  <si>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</si>
  <si>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</si>
  <si>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</si>
  <si>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</si>
  <si>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</si>
  <si>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</si>
  <si>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</si>
  <si>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</si>
  <si>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</si>
  <si>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</si>
  <si>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</si>
  <si>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</si>
  <si>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</si>
  <si>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Riverside-Glenpool (81-523) Reconductor</t>
  </si>
  <si>
    <t>Craig Jct. to Broken Bow Dam 138 Rebuild (7.7mi)</t>
  </si>
  <si>
    <t>WFEC New 138 kV Ties: Sayre to Erick (WFEC) Line &amp; Atoka and Tupelo station work</t>
  </si>
  <si>
    <t>Cache-Snyder to Altus Jct. 138 kV line (w/2 ring bus stations)</t>
  </si>
  <si>
    <t>Catoosa 138 kV Device (Cap. Bank)</t>
  </si>
  <si>
    <t>Pryor Junction 138/69 Upgrade Transf</t>
  </si>
  <si>
    <t>Elk City - Elk City 69 kV line (CT Upgrades)*</t>
  </si>
  <si>
    <t>Weleetka &amp; Okmulgee Wavetrap replacement 81-805*</t>
  </si>
  <si>
    <t>Tulsa Southeast Upgrade (repl switches)*</t>
  </si>
  <si>
    <t>Wavetrap Clinton City-Foss Tap 69kV Ckt 1*</t>
  </si>
  <si>
    <t>Bartlesville SE to Coffeyville T Rebuild</t>
  </si>
  <si>
    <t>Canadian River - McAlester City 138 kV Line Conversion</t>
  </si>
  <si>
    <t>CoffeyvilleT to Dearing 138 kv Rebuild - 1.1 mi*</t>
  </si>
  <si>
    <t>Ashdown West - Craig Junction</t>
  </si>
  <si>
    <t>Locust Grove to Lone Star 115 kV Rebuild 2.1 miles</t>
  </si>
  <si>
    <t>Cornville Station Conversion</t>
  </si>
  <si>
    <t>Grady Customer Connection</t>
  </si>
  <si>
    <t>Darlington-Red Rock 138 kV line</t>
  </si>
  <si>
    <t>Valliant-NW Texarkana 345 kV</t>
  </si>
  <si>
    <t>Sayre 138 kV Capacitor Bank Addition</t>
  </si>
  <si>
    <t>Darlington-Roman Nose 138 kV</t>
  </si>
  <si>
    <t>Northeastern Station 138 kV Terminal Upgrades</t>
  </si>
  <si>
    <t>Elk City 138KV Move Load</t>
  </si>
  <si>
    <t>Duncan-Comanche Tap 69 KV Rebuild</t>
  </si>
  <si>
    <t>Fort Towson-Valliant Line Rebuild</t>
  </si>
  <si>
    <t>S.001</t>
  </si>
  <si>
    <t>SWE</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</si>
  <si>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</si>
  <si>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</si>
  <si>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</si>
  <si>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</si>
  <si>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</si>
  <si>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</si>
  <si>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</si>
  <si>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</si>
  <si>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</si>
  <si>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</si>
  <si>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</si>
  <si>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</si>
  <si>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</si>
  <si>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</si>
  <si>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</si>
  <si>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</si>
  <si>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</si>
  <si>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</si>
  <si>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</si>
  <si>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</si>
  <si>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</si>
  <si>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</si>
  <si>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</si>
  <si>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</si>
  <si>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</si>
  <si>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</si>
  <si>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</si>
  <si>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</si>
  <si>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</si>
  <si>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</si>
  <si>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</si>
  <si>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S.033</t>
  </si>
  <si>
    <t>S.034</t>
  </si>
  <si>
    <t>S.035</t>
  </si>
  <si>
    <t>S.036</t>
  </si>
  <si>
    <t>S.037</t>
  </si>
  <si>
    <t>S.038</t>
  </si>
  <si>
    <t>S.039</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</si>
  <si>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</si>
  <si>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</si>
  <si>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</si>
  <si>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</si>
  <si>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</si>
  <si>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</si>
  <si>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</si>
  <si>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</si>
  <si>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</si>
  <si>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</si>
  <si>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</si>
  <si>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</si>
  <si>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</si>
  <si>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</si>
  <si>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</si>
  <si>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</si>
  <si>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</si>
  <si>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</si>
  <si>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</si>
  <si>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</si>
  <si>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</si>
  <si>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</si>
  <si>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</si>
  <si>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</si>
  <si>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</si>
  <si>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</si>
  <si>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</si>
  <si>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</si>
  <si>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</si>
  <si>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</si>
  <si>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</si>
  <si>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</si>
  <si>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Arsenal Hill Auto xfmr &amp; AH to Water Works line</t>
  </si>
  <si>
    <t>SW Shreveport (sub work &amp; tap)</t>
  </si>
  <si>
    <t>[NW Ark Area Improve - 2009]  E. Centerton-Flint Crk, E Rogers-N Rogers, Centerton</t>
  </si>
  <si>
    <t>Rebuild N. Magazine - Danville 161 kV Line</t>
  </si>
  <si>
    <t>[Greenwood, AR Area Improve]  N Huntington, Greenwood, Reeves, Bonanza</t>
  </si>
  <si>
    <t>Port Robson-Caplis Line (SW 138 kV Loop -- 2009)</t>
  </si>
  <si>
    <t>Linwood 138 Station Switch Replacement*</t>
  </si>
  <si>
    <t>Dyess to S. Fayetteville 69 kV Convert to 161 kV (multi-projects)</t>
  </si>
  <si>
    <t>Northwest Texarkana-Bann-Alumax Tap 138kV -- reconductor</t>
  </si>
  <si>
    <t>Tontitown - Elm Springs REC 161 kV line***</t>
  </si>
  <si>
    <t>Siloam Springs - Chamber Springs 161 kV line***</t>
  </si>
  <si>
    <t>Knox Lee - Oak Hill #2 138 kV line, S. Shreveport  (SWE Minor Proj II)</t>
  </si>
  <si>
    <t xml:space="preserve">Carthage REC - Carthage T 138 kV </t>
  </si>
  <si>
    <t>NW Henderson - Oak Hill 138 kV line*</t>
  </si>
  <si>
    <t>Arsenal Hill 138kV Device (Cap. Bank)</t>
  </si>
  <si>
    <t>Daingerfield - Jenkins REC 69 kV CB Repl**</t>
  </si>
  <si>
    <t>Linwood-McWillie 138 kV Rebuild</t>
  </si>
  <si>
    <t>Port Robson (SW 138 kV Loop -- 2008)</t>
  </si>
  <si>
    <t>Wallace Lake-Prt Robson-Red Point 138 kV Loop</t>
  </si>
  <si>
    <t>[NW Ark Area Improve - 2008]  Elm Springs, East Rogers, Shipe Road Stations</t>
  </si>
  <si>
    <t>Reconductor 4 mi. of McNabb-Turk</t>
  </si>
  <si>
    <t>Longwood: r&amp;r switches, upgrade bus</t>
  </si>
  <si>
    <t>Reconductor: Greggton-Lake Lamond &amp; Quitman-Westwood 69 kV lines</t>
  </si>
  <si>
    <t>Rebuild/reconductor Dyess-Elm Springs REC [Dyess Station-Flint Creek]</t>
  </si>
  <si>
    <t>Replace switch at Diana*</t>
  </si>
  <si>
    <t>Whitney repl CB and Switches</t>
  </si>
  <si>
    <t>Linwood - Powell Street 138 kV</t>
  </si>
  <si>
    <t xml:space="preserve">Bloomburg-Texarkana Plant </t>
  </si>
  <si>
    <t xml:space="preserve">Knox Lee - Pirkey 138 kV / Pirkey - Whitney 138 kV - Replace Breaker,  Wavetraps, and reset relays and CT's </t>
  </si>
  <si>
    <t>NW Texarkana - Turk 345</t>
  </si>
  <si>
    <t>Lone Star South - Pittsburg 138 kV - Replace Wavetraps, reset CT's and Relays</t>
  </si>
  <si>
    <t>Howell-Kilgore 69 kV rebuild</t>
  </si>
  <si>
    <t xml:space="preserve"> Flint Creek-Shipe Road 345 kV Line</t>
  </si>
  <si>
    <t>Bann - LS Ordnance - Hooks 69 kV - Rebuild 7.1 mi</t>
  </si>
  <si>
    <t>Diana - Replace North Autotransformer #3</t>
  </si>
  <si>
    <t>Osburn 161 kV Line Work</t>
  </si>
  <si>
    <t>SW Shreveport to Spring Ridge REC 138 kV Line Rebuild</t>
  </si>
  <si>
    <t>Eastex Switching Station - Whitney 138 kV Station - Rebuild 2.5 miles of 138 Kv</t>
  </si>
  <si>
    <t>Ashdown West - Craig Junction 138KV Rebuild (tie w/PSO)</t>
  </si>
  <si>
    <t xml:space="preserve">Rock Hill to Carthage 69 kV Rebuild 11.4 Miles </t>
  </si>
  <si>
    <t>Broadmoor to Fern Street 69 kV Rebuild 1 mile</t>
  </si>
  <si>
    <t>Northwest Henderson to Poynter 69 kV Rebuild 3.2 miles</t>
  </si>
  <si>
    <t>Diana to Perdue 138 kV Rebuild 21.8 miles; Station Upgrades at Diana and Perdue</t>
  </si>
  <si>
    <t>Pittsburg-Winnsboro-North Mineola</t>
  </si>
  <si>
    <t>CHAMBER SPRINGS - TONTITOWN 161KV CKT 1</t>
  </si>
  <si>
    <t>CHAMBER SPRINGS - TONTITOWN 345KV CKT 1</t>
  </si>
  <si>
    <t>FULTON - HOPE 115KV CKT 1</t>
  </si>
  <si>
    <t>MINEOLA - NORTH MINEOLA 69KV CKT 1</t>
  </si>
  <si>
    <t xml:space="preserve">SUGAR HILL 138/69KV TRANSFORMER CKT 1 </t>
  </si>
  <si>
    <t>Dekalb-New Boston 69 kV</t>
  </si>
  <si>
    <t>Hardy Street-Waterworks 69 kV</t>
  </si>
  <si>
    <t>Red Oak (State Line)-North Huntington 69 kV</t>
  </si>
  <si>
    <t>Mt. Pleasant - West Mt. Pleasant 69 kV Ckt 1)</t>
  </si>
  <si>
    <t>Benteler - Port Robson 138 kV Ckt 1 and 2</t>
  </si>
  <si>
    <t>Ellerbe Rd-S Shreveport 69 kv Build</t>
  </si>
  <si>
    <t>Logansport 138 kv</t>
  </si>
  <si>
    <t>Winnsboro 138 kw</t>
  </si>
  <si>
    <t>Rock Hill-Springridge Pan-Harr REC 138 kv</t>
  </si>
  <si>
    <t>Brownlee-North Mrket 69 kv Rebuild</t>
  </si>
  <si>
    <t>Messick 500/230 kV</t>
  </si>
  <si>
    <t>Letourneau 69 kV Capacitor Bank Addition</t>
  </si>
  <si>
    <t>Brooks Street - Edwards Street 69 kV Line Rebuild</t>
  </si>
  <si>
    <t>Hallsville - Marshall New 69 kV Circuit</t>
  </si>
  <si>
    <t>Daingerfield - Jenkins Rebuild</t>
  </si>
  <si>
    <t>Broadmoor - Fort Humbug Rebuild</t>
  </si>
  <si>
    <t>Chamber Springs - Farmington 161 kV Line</t>
  </si>
  <si>
    <t>Evenside - Northwest Henderson 69 KV Line Rebuild</t>
  </si>
  <si>
    <t>Hallsville - Longview Heights 69 KV Line Rebuild</t>
  </si>
  <si>
    <t>Linwood - South Shreveport 138 KV Kine Rebuild</t>
  </si>
  <si>
    <t>IPC 138 KV Capacitor Bank Addition</t>
  </si>
  <si>
    <t>ER18-195</t>
  </si>
  <si>
    <t>Common Stock cost rate (ROE) = 10.5%, the rate accepted by FERC pursuant to the settlement filed in Docket Nos.EL17-76 / EL18-199 .  It includes an additional 50 basis points</t>
  </si>
  <si>
    <t xml:space="preserve"> for remaining a member of the SPP RTO.</t>
  </si>
  <si>
    <t xml:space="preserve">Average of the 13 Monthly Balances </t>
  </si>
  <si>
    <t>13 Month Average</t>
  </si>
  <si>
    <t>Average of the 13 Monthly Balances</t>
  </si>
  <si>
    <t>13 Month Average balance</t>
  </si>
  <si>
    <t>Prepaid Taxes</t>
  </si>
  <si>
    <t xml:space="preserve">NOTEs:  </t>
  </si>
  <si>
    <t>[a]</t>
  </si>
  <si>
    <t>PSO Native load includes PSO load on GRDA</t>
  </si>
  <si>
    <t>[b]</t>
  </si>
  <si>
    <t>GRDA and PSO enjoy a grandfathered load swap arrangement.  Historically, both PSO load on GRDA and GRDA load on PSO were included in the PSO OATT load responsibility (Schedule 9).  Beginning in Dec 2015, loads are telemetered - AEP and GRDA mutually agreed to report only their own load telemetered from the other zone for purposes of both Sch 9 &amp; 11.  Therefore, for Dec 2015 and forward, PSO will only report PSO load on GRDA for both Sch 9 &amp; 11 reporting purposes as agreed to with GRDA.  Also, for Schedule 11 purposes, in agreement w/SPP &amp; GRDA, PSO will report the PSO load on GRDA in Schedule 11 while GRDA will report its load on PSO in its Schedule 11 values for the entire year.</t>
  </si>
  <si>
    <t>{c}   OG&amp;E Atoka and Coalgate merged under 1 TSR (OG&amp;E LSE) beginning with September 2018 billing. SPP required the merged loads to be reported for Jan - Dec 2018</t>
  </si>
  <si>
    <t>Fiduciary, Directors &amp; Officers Liability, Casualty Broker Fee, Casualty Excess Public Liability, Property Ins, Cyber Liability, Excess Workers Compensation Liability.</t>
  </si>
  <si>
    <t>HSA Seed Monies</t>
  </si>
  <si>
    <t>Prepaid Oklahoma Corporate Commission Fees (OCC) and NERC Assessment Fees.Prepaid Outage Alerts Service, Prepaid AMI Advertising and promotion costs, Innovari Corporate Mobilization Prepayment, Enable Oklahoma Transmission gas prepayment (under BU198-Generation).</t>
  </si>
  <si>
    <t>AR Factoring - Excluded because it is retail.</t>
  </si>
  <si>
    <t>Prefunded Pension Expense - FAS 87</t>
  </si>
  <si>
    <t>LT portion of the FAS 158 Projected Benefit Obligation for the Qualified Pension Plan when the net plan is still prepaid - offset a/c 1650010.</t>
  </si>
  <si>
    <t>Overfunding of FAS112 - offset account 2283005.</t>
  </si>
  <si>
    <t>EIS Plant (Property) Ins and EIS Excess Liability Ins.</t>
  </si>
  <si>
    <t>Prepaid Lease</t>
  </si>
  <si>
    <t>FAS158 Post Retirement Welfare (PRW) Excluding the effect of the Med-D Subsidy.</t>
  </si>
  <si>
    <t>Contr Acct - FAS158 Post Retirement Welfare (PRW) Excluding the effect of the Med-D Subsidy.</t>
  </si>
  <si>
    <t>1650017</t>
  </si>
  <si>
    <t>Crime Liability, Fiduciary Liability, Directors &amp; Officers Liability, Casualty Broker Fee, Casualty Excess Public Liability, Property Ins, Cyber Liability and Workers Compensation Liability.</t>
  </si>
  <si>
    <t>Prepaid Royalty Pmts to Coal Leaseholders, Stall Prepaid agreement fees, NERC Assessment fees, Prepayment to SWEPCO Transmission for 345KV line relocation in North Area and Customer Alert Prepaid for outage program.</t>
  </si>
  <si>
    <t>Prepaid carrying costs</t>
  </si>
  <si>
    <t>Prepaid Local Franchise Taxes</t>
  </si>
  <si>
    <t>Prepayment - Coal</t>
  </si>
  <si>
    <t>EIS Excess Liability Ins, EIS Property Ins and EIS Boiler Inspection Service Fee.</t>
  </si>
  <si>
    <t>Dolet Hills Future Wetlands Credit - LT</t>
  </si>
  <si>
    <t>P.026</t>
  </si>
  <si>
    <t>P.027</t>
  </si>
  <si>
    <t>Tulsa Southeast - E. 61st St 138 kV Rebuild</t>
  </si>
  <si>
    <t>Broken Arrow North-Lynn Lane East 138 kV</t>
  </si>
  <si>
    <t>S.072</t>
  </si>
  <si>
    <t>S.073</t>
  </si>
  <si>
    <t>S.074</t>
  </si>
  <si>
    <t>Ellerbe Road - Lucas 69 kV Rebuild</t>
  </si>
  <si>
    <t>Siloam Springs - Siloam Springs City 161 kV Rebuild</t>
  </si>
  <si>
    <t>Figure Five - VBI North 69 kV Rebuild</t>
  </si>
  <si>
    <t>10A</t>
  </si>
  <si>
    <t>ADJUSTMENTS DISCOVERED DURING PRIOR ANNUAL UPDATE</t>
  </si>
  <si>
    <t>(F)+(G)+(H)+(I)</t>
  </si>
  <si>
    <t>960F-XS</t>
  </si>
  <si>
    <t>3.  Arkansas depreciation rates were approved in 2019 per a Settlement agreement in Docket 19-008-U.  Staff rates were approved and made effective on January 1, 2020.</t>
  </si>
  <si>
    <t xml:space="preserve">Non Transmission Plant Held For Future Use </t>
  </si>
  <si>
    <t>P.028</t>
  </si>
  <si>
    <t>Keystone Dam - Wekiwa 138 kV</t>
  </si>
  <si>
    <t>&lt;--- Total BP (Schedule 11) revenues booked during CY2021.</t>
  </si>
  <si>
    <t>FF1</t>
  </si>
  <si>
    <t>* nothing allocated to T&amp;D anymore</t>
  </si>
  <si>
    <t>960Z</t>
  </si>
  <si>
    <t>Prepaid Carry Cost</t>
  </si>
  <si>
    <t>Other Prepayments - Long Term</t>
  </si>
  <si>
    <t>PSO Total</t>
  </si>
  <si>
    <t>NOTE B:  In the event that an initial unprotected, excess or deficient ADIT amount changes due to adjustments, residual balances will be amortized in the final year of the amortization period.</t>
  </si>
  <si>
    <t>Tax  Rate Change Legislative Act</t>
  </si>
  <si>
    <t>TCJA of 2017</t>
  </si>
  <si>
    <t>Tax Rate Change Act</t>
  </si>
  <si>
    <t>NOL Adjustment</t>
  </si>
  <si>
    <t>Tax File</t>
  </si>
  <si>
    <t>PUBLIC SERVICE COMPANY of OKLAHOMA</t>
  </si>
  <si>
    <t>Worksheet C-5</t>
  </si>
  <si>
    <t>Excess/ Deficient ADIT Worksheet for Total Company and Functional Balances</t>
  </si>
  <si>
    <t>For Year Ended December 31, 2021</t>
  </si>
  <si>
    <t>Debit/(Credit)</t>
  </si>
  <si>
    <t>SOUTHWESTERN ELECTRIC POWER COMPANY, INC.</t>
  </si>
  <si>
    <t xml:space="preserve">I </t>
  </si>
  <si>
    <t xml:space="preserve">J </t>
  </si>
  <si>
    <t>TOTAL COMPANY BALANCES</t>
  </si>
  <si>
    <t>Balance Sheet Entries</t>
  </si>
  <si>
    <t>Tax Expense Entries</t>
  </si>
  <si>
    <t xml:space="preserve">Line No. </t>
  </si>
  <si>
    <t>Account (NOTE A)</t>
  </si>
  <si>
    <t>Description of Account</t>
  </si>
  <si>
    <t>Protected
Unprotected</t>
  </si>
  <si>
    <t>Excess Balance at Remeasurement (NOTE C)</t>
  </si>
  <si>
    <t>Amortization Methodology (NOTE D)</t>
  </si>
  <si>
    <t>Amotization Period</t>
  </si>
  <si>
    <t>Excess/(Deficient) ADIT Regulatory  Offset</t>
  </si>
  <si>
    <t>(Excess)/Deficient ADIT in Utility Deferrals</t>
  </si>
  <si>
    <t>Balance Sheet Account Reclassifications (NOTE I)</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</si>
  <si>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</si>
  <si>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</si>
  <si>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</si>
  <si>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</si>
  <si>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</si>
  <si>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</si>
  <si>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</si>
  <si>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</si>
  <si>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</si>
  <si>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281</t>
    </r>
    <r>
      <rPr>
        <sz val="9"/>
        <color rgb="FFFF0000"/>
        <rFont val="Arial"/>
        <family val="2"/>
      </rPr>
      <t>1</t>
    </r>
    <r>
      <rPr>
        <sz val="9"/>
        <rFont val="Arial"/>
        <family val="2"/>
      </rPr>
      <t>001</t>
    </r>
  </si>
  <si>
    <t>ADFIT - Accel Amortization Property</t>
  </si>
  <si>
    <t>ARAM</t>
  </si>
  <si>
    <t>Life of Asset</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</si>
  <si>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</si>
  <si>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</si>
  <si>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</si>
  <si>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</si>
  <si>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</si>
  <si>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</si>
  <si>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WS C-2 ADIT BOY; WS C-1 ADIT EOY   282 Line # 960F-XS Protected</t>
  </si>
  <si>
    <t>1e</t>
  </si>
  <si>
    <t>10 Years</t>
  </si>
  <si>
    <t>1/2018 - 12/2027</t>
  </si>
  <si>
    <t>WS C-2 ADIT BOY; WS C-1 ADIT EOY   282 Line # 960F-XS Unprotected</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</si>
  <si>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</si>
  <si>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</si>
  <si>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</si>
  <si>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</si>
  <si>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</si>
  <si>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</si>
  <si>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</si>
  <si>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WS C-2 ADIT BOY; WS C-1 ADIT EOY   283 Line # 960F-XS Unprotected</t>
  </si>
  <si>
    <t>1i</t>
  </si>
  <si>
    <r>
      <t>283</t>
    </r>
    <r>
      <rPr>
        <sz val="9"/>
        <color rgb="FFFF0000"/>
        <rFont val="Arial"/>
        <family val="2"/>
      </rPr>
      <t>4</t>
    </r>
    <r>
      <rPr>
        <sz val="9"/>
        <rFont val="Arial"/>
        <family val="2"/>
      </rPr>
      <t>001</t>
    </r>
  </si>
  <si>
    <t>ADFIT - Other FAS 109 Excess</t>
  </si>
  <si>
    <t>1j</t>
  </si>
  <si>
    <r>
      <t>190</t>
    </r>
    <r>
      <rPr>
        <sz val="9"/>
        <color rgb="FFFF0000"/>
        <rFont val="Arial"/>
        <family val="2"/>
      </rPr>
      <t>4</t>
    </r>
    <r>
      <rPr>
        <sz val="9"/>
        <rFont val="Arial"/>
        <family val="2"/>
      </rPr>
      <t>002</t>
    </r>
  </si>
  <si>
    <t>1k</t>
  </si>
  <si>
    <t>Not Determined</t>
  </si>
  <si>
    <t>1l</t>
  </si>
  <si>
    <r>
      <t>283</t>
    </r>
    <r>
      <rPr>
        <sz val="9"/>
        <color rgb="FFFF0000"/>
        <rFont val="Arial"/>
        <family val="2"/>
      </rPr>
      <t>1</t>
    </r>
    <r>
      <rPr>
        <sz val="9"/>
        <rFont val="Arial"/>
        <family val="2"/>
      </rPr>
      <t>002</t>
    </r>
  </si>
  <si>
    <t>1m</t>
  </si>
  <si>
    <r>
      <t>283</t>
    </r>
    <r>
      <rPr>
        <sz val="9"/>
        <color rgb="FFFF0000"/>
        <rFont val="Arial"/>
        <family val="2"/>
      </rPr>
      <t>4</t>
    </r>
    <r>
      <rPr>
        <sz val="9"/>
        <rFont val="Arial"/>
        <family val="2"/>
      </rPr>
      <t>002</t>
    </r>
  </si>
  <si>
    <t>1n</t>
  </si>
  <si>
    <t>NOTE E</t>
  </si>
  <si>
    <t>Regulatory Deferral Accounts</t>
  </si>
  <si>
    <t>2a</t>
  </si>
  <si>
    <t xml:space="preserve">Regulatory Asset  </t>
  </si>
  <si>
    <t xml:space="preserve"> Company Records</t>
  </si>
  <si>
    <t>2b</t>
  </si>
  <si>
    <t>Regulatory Liability</t>
  </si>
  <si>
    <t>2c</t>
  </si>
  <si>
    <t>2d</t>
  </si>
  <si>
    <t>TRANSMISSION FUNCTION BALANCES (NOTE J)</t>
  </si>
  <si>
    <t>4a</t>
  </si>
  <si>
    <t>4b</t>
  </si>
  <si>
    <t>4c</t>
  </si>
  <si>
    <t>5 Years</t>
  </si>
  <si>
    <t>1/2018 - 12/2022</t>
  </si>
  <si>
    <t>4d</t>
  </si>
  <si>
    <t>4e</t>
  </si>
  <si>
    <t>4f</t>
  </si>
  <si>
    <t>4g</t>
  </si>
  <si>
    <t>4h</t>
  </si>
  <si>
    <t>4i</t>
  </si>
  <si>
    <t>4j</t>
  </si>
  <si>
    <t>4k</t>
  </si>
  <si>
    <t>5a</t>
  </si>
  <si>
    <t>5b</t>
  </si>
  <si>
    <t>5c</t>
  </si>
  <si>
    <t>5d</t>
  </si>
  <si>
    <t>SWEPCO TCOS, Col (5), Ln 105</t>
  </si>
  <si>
    <t>GENERAL NOTE:</t>
  </si>
  <si>
    <t>The information provided on this worksheet reflects the activity on the books of the Company, which maintains these records on both a total company and transmission functional basis.  In the event the Excess or Deficient ADIT associated with a specific tax rate change will be passed back or recovered on the basis of an approved settlement the Company will use WS C-4 for that purpose, as opposed to using the transmission functional book amounts  that are shown on this work sheet.   See NOTE E and NOTE G below for a further description on how the Company will track future tax rate changes and ensure the proper net amount is recorded on line 105 in the TCOS of the formula.</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</si>
  <si>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</si>
  <si>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</si>
  <si>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</si>
  <si>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</si>
  <si>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</si>
  <si>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  The derivation of this amount, along with the pre-remeasurement and post-remeasurement balances of ADIT, are presented in formula wokpaper(s) C-5-X.</t>
  </si>
  <si>
    <t>NOTE D:</t>
  </si>
  <si>
    <t xml:space="preserve">The five year amortization period for unprotected excess ADIT arising from the TCJA of 2017 is consistent with the period agreed upon by the Company and its customers and approved for the Company's SPP formula rates. Southwest Power Pool, Inc. 167 FERC ¶ 61,272 (2019). </t>
  </si>
  <si>
    <t>NOTE E:</t>
  </si>
  <si>
    <t>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</si>
  <si>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</si>
  <si>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 xml:space="preserve">NOTE G: </t>
  </si>
  <si>
    <t>NOTE H:</t>
  </si>
  <si>
    <t>Deficient remeasurement amounts will be recorded in 410.1 as a debit (expense) to cost of service; excess remeasurement amounts will be recorded in 411.1 as a credit to cost of service.</t>
  </si>
  <si>
    <t>NOTE I:</t>
  </si>
  <si>
    <t>In the event that there are adjustments reported in column K of this worksheet that would result in changes to the initial unprotected excess or deficient ADIT amounts, AEP will provide supporting documentation for those adjustments to customers as a part of its annual update process.</t>
  </si>
  <si>
    <t>NOTE J:</t>
  </si>
  <si>
    <t>WS C-1 ADIT EOY  283 Line # 911Q-XS Unprotected</t>
  </si>
  <si>
    <t>WS C-1 ADIT EOY  283 Line # 911-XS Unprotected</t>
  </si>
  <si>
    <t>OK HB 2960</t>
  </si>
  <si>
    <t xml:space="preserve">State ADFIT - FAS 109 Excess </t>
  </si>
  <si>
    <t>State FBOS-ADSIT</t>
  </si>
  <si>
    <t>State ADSIT - Other Utility Deferals</t>
  </si>
  <si>
    <t>State ADSIT - FAS 109 Excess</t>
  </si>
  <si>
    <t>4l</t>
  </si>
  <si>
    <t>P.029</t>
  </si>
  <si>
    <t>Tulsa SE - E 21st St Tap 138 kV</t>
  </si>
  <si>
    <t>NOTE 7:</t>
  </si>
  <si>
    <t>This column represents the total of specific ADIT balances in each ADIT account that are included in the initial remeasurement but which are then excluded from the recoverable excess or deficient balances because the underlying ADIT item is not allocated in the formula. It will also include adjustments made after the initial remeasurement as identified by the AEP tax department</t>
  </si>
  <si>
    <t>NOTE 6:</t>
  </si>
  <si>
    <t>NOTE 5:</t>
  </si>
  <si>
    <t>These adjustments are for the reclass of Deficient ADIT from account 190.1 to 283.1 .</t>
  </si>
  <si>
    <t>NOTE 4:</t>
  </si>
  <si>
    <t>NOTE 3:</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</si>
  <si>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</si>
  <si>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</si>
  <si>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TCJA of2017  required a decrease in the federal income tax rate from 35% to 21%.</t>
  </si>
  <si>
    <t>NOTE 1:</t>
  </si>
  <si>
    <t xml:space="preserve">This worksheet will summarize remeasurement adjustments in ADIT Accounts for both the total company and transmission function required by changes in either federal or state income tax rates and/or apportionment factors that give rise to Excess/Deficient ADIT.  A new sheet will be included in the working formula for each change to tax rates or apportionment factors that may occur while this formula rate is in effect. New pages will be designated by incrementing the suffix letter in the workpaper name (i.e. C-5-A, C-5-B, etc.).  Lines may be added as necessary to reflect the specifics of the remeasurement required by the tax legislation.   </t>
  </si>
  <si>
    <t xml:space="preserve">GENERAL NOTE:  </t>
  </si>
  <si>
    <t>Total (Sum of Lns. 16+17+23)</t>
  </si>
  <si>
    <t>2831001</t>
  </si>
  <si>
    <t>282 Unprotected Excess ADIT</t>
  </si>
  <si>
    <t>282 Protected Excess ADIT</t>
  </si>
  <si>
    <t xml:space="preserve">Total PSO Transmission Excess Amount </t>
  </si>
  <si>
    <t>Calculated Remeasurement</t>
  </si>
  <si>
    <t>Excess TCJA @ 12/31/2017</t>
  </si>
  <si>
    <t>2821001</t>
  </si>
  <si>
    <t>1901001</t>
  </si>
  <si>
    <t>TRANSMISSION FUNCTION</t>
  </si>
  <si>
    <t>Total (Sum of Lns. 3+4+5+14)</t>
  </si>
  <si>
    <t>Total (Sum of Lns. 2+5+7+17)</t>
  </si>
  <si>
    <t>Less: Accum Deferred State Taxes</t>
  </si>
  <si>
    <t>2018 FF1 P. 276 Col (b) Line 9</t>
  </si>
  <si>
    <t>283- Utility</t>
  </si>
  <si>
    <t xml:space="preserve">Total PSO Excess Amount </t>
  </si>
  <si>
    <t>TCJA - ACCT 2821001 - MJE</t>
  </si>
  <si>
    <t>EXCESS ADFIT 282 - PROTECTED</t>
  </si>
  <si>
    <t>2018 FF1 P. 274 Col (b) Line 5</t>
  </si>
  <si>
    <t>2018 FF1 P. 272 Col (b) Line 8</t>
  </si>
  <si>
    <t>2811001</t>
  </si>
  <si>
    <t>2018 FF1 P. 234 Col (b) Line 8</t>
  </si>
  <si>
    <t>190 - Utility</t>
  </si>
  <si>
    <t>TOTAL COMPANY</t>
  </si>
  <si>
    <t>ADIT Deferral After Remesasurement</t>
  </si>
  <si>
    <t>Protected / Unprotected</t>
  </si>
  <si>
    <t>Total Excess/Deficiency by Account (NOTE 7)</t>
  </si>
  <si>
    <t>Exclusions (NOTE 6)</t>
  </si>
  <si>
    <t>Sub-total (NOTE 5)</t>
  </si>
  <si>
    <t>Adjustments (NOTE 4)</t>
  </si>
  <si>
    <t>Remeasurement Percentage (NOTE 3)</t>
  </si>
  <si>
    <t>Remeasurement Amount (NOTE 2)</t>
  </si>
  <si>
    <t>Description/Reference</t>
  </si>
  <si>
    <t>2021 Pre-remeasurement Balance</t>
  </si>
  <si>
    <t xml:space="preserve">Utility Account </t>
  </si>
  <si>
    <t>L = C - J</t>
  </si>
  <si>
    <t>J = H + I</t>
  </si>
  <si>
    <t>H= E + G</t>
  </si>
  <si>
    <t>F=E/C</t>
  </si>
  <si>
    <t>Oklahoma House Bill 2960 - NOTE 1</t>
  </si>
  <si>
    <t>TAX REMEASUREMENT WORKSHEET</t>
  </si>
  <si>
    <t xml:space="preserve">WORKSHEET-C-5- </t>
  </si>
  <si>
    <t>ADDENDUM 4 TO ATTACHMENT H OF THE SPP OATT</t>
  </si>
  <si>
    <t>AEP WEST OPERATING COMPANIES</t>
  </si>
  <si>
    <t>WORKSHEET-C-5- B</t>
  </si>
  <si>
    <t>2831002</t>
  </si>
  <si>
    <t>Calculation Under New Tax Rate</t>
  </si>
  <si>
    <t>Federal Cumulative Temporary Difference (Company Records)</t>
  </si>
  <si>
    <t>Oklahoma Apportionment (Company Records)</t>
  </si>
  <si>
    <t>Oklahoma Tax Rate</t>
  </si>
  <si>
    <t>Oklahoma Cumulative Temp. Difference</t>
  </si>
  <si>
    <t>Oklahoma Net Operating Loss (Company Records)</t>
  </si>
  <si>
    <t>Oklahoma Projected 2021 NOL Creation (Company Records)</t>
  </si>
  <si>
    <t>Total Oklahoma NOL Deferred Tax Asset</t>
  </si>
  <si>
    <t>Oklahoma NOL Deferred Tax Asset</t>
  </si>
  <si>
    <t>Cumulative Temp. Difference - Radials</t>
  </si>
  <si>
    <t>Oklahoma Apportionment</t>
  </si>
  <si>
    <t>Subtotal</t>
  </si>
  <si>
    <t>Calculation Under Prior Tax Rate</t>
  </si>
  <si>
    <t>Oklahoma Deferred Balance (Company Records)</t>
  </si>
  <si>
    <t>.</t>
  </si>
  <si>
    <t>Oklahoma Deferred Income Tax</t>
  </si>
  <si>
    <t>Oklahoma Projected 2021 NOL Creation  (Company Records)</t>
  </si>
  <si>
    <t>Remeasurement Amounts</t>
  </si>
  <si>
    <t>Cumulative Temp. Difference - Excluding Radials ((Ln 6 - Ln 26-(Ln18 - Ln38))</t>
  </si>
  <si>
    <t>NOL (Ln 12 - Ln 32)</t>
  </si>
  <si>
    <t>Less: Federal Offset (Ln 44 * -21%)</t>
  </si>
  <si>
    <t>Deferred Tax Benefit / (Detriment) - Net of Federal Impact</t>
  </si>
  <si>
    <t>Ln 26 +Ln 32</t>
  </si>
  <si>
    <t>Cumulative Temp. Difference - Excluding Radials ((Ln 55- Ln 75-(Ln67 - Ln87))</t>
  </si>
  <si>
    <t>NOL (Ln 82 - Ln 62)</t>
  </si>
  <si>
    <t>Less: Federal Offset (Ln 92 * -21%)</t>
  </si>
  <si>
    <t>(Sum of Lns. 10+11+12)</t>
  </si>
  <si>
    <t xml:space="preserve">Oklahoma HB 2960 required a decrease in the state income tax rate from 6.0% to 4.0%. </t>
  </si>
  <si>
    <t>Not Applicable</t>
  </si>
  <si>
    <t xml:space="preserve">The transmission functional amount in this column will be the amount that is recoverable in the formula rate, based on the book remeasurement recorded on books and then adjusted for the excess or deficient amounts of excludable ADIT differences.  This net total will be recorded on worksheet C-4. </t>
  </si>
  <si>
    <t>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t>
  </si>
  <si>
    <t>The remeasurement calculation may not equal 33.3% of the _ December 31, 2021   deferral balance because of specific ADIT items that are not subject to remeasurement, are excludable from the excess/deficient balances recoverable in this formula, and/or the impact of apportionment factors in the calculation.</t>
  </si>
  <si>
    <t>Ties to each Operating Companies' Workpaper C-5, Column F, showing the intial remeasurement value determined as a result of the OK HB 2960</t>
  </si>
  <si>
    <t>Ties to each Operating Companies' Workpaper C-5, Column F, showing the intial remeasurement value determined as a result of the TCJA of 2017</t>
  </si>
  <si>
    <t xml:space="preserve">The West Operating Companies maintain accounting records at the total company and functional basis and have done so since 2002.  The total company and transmission functional excess and deficient balances are derived from the underlying total company and functional transactions recorded on the books and records of the West Operating Companies.  Therefore, functional ADIT balances are based on the functional book balances that underlie them. The determination of excess and deficient balances on both a total company and transmission functional basis are based on a remeasurement of the component ADIT balances making up those total ADIT balances, which is performed at the time of the tax change.  The sum of the individual re-measurements comprise the total amount of net excess or deficient ADIT on a total company and transmission functional basis.   While the ADIT worksheets C-1 and C-2 utilize the total company ADIT balances and allocate them using formula-developed allocators, the related excess/deficient ADIT balances reflect the transmission functional balances and do not rely on allocation in the formula.  </t>
  </si>
  <si>
    <t>Transmission functional amortization expense determined on WS C-4 will supersede the amortization of excess and deficient ADIT included in Column N, Ln 6 of this worksheet, due to ratemaking adjustments required in the formula that are not reflected in the books.</t>
  </si>
  <si>
    <t>NOTE F/G</t>
  </si>
  <si>
    <t>410/411
Excess/(Deficient) Amortization NOTE G/H</t>
  </si>
  <si>
    <t xml:space="preserve">NOTE A: Unprotected balances of excess/deficient ADIT will be amortized over five years, starting the year after the change is effective, consistent with the settled process approved in Docket ER18-195 (167 FERC ¶ 61,272 at 6.) for the excess and deficient ADIT caused by the TCJA of 2017.   Additional columns will be added to reflect future tax changes. </t>
  </si>
  <si>
    <t>TCOS Col (5) Ln 105</t>
  </si>
  <si>
    <t>WORKSHEET-C-5- A</t>
  </si>
  <si>
    <t xml:space="preserve">Total SWEPCO Excess Amount </t>
  </si>
  <si>
    <t>(Sum of Lns. 3+5+7+14)</t>
  </si>
  <si>
    <t>Lns 19 +20</t>
  </si>
  <si>
    <t xml:space="preserve">Total SWEPCO Transmission </t>
  </si>
  <si>
    <t>(Sum of Lns. 31+32+38)</t>
  </si>
  <si>
    <t xml:space="preserve">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 </t>
  </si>
  <si>
    <t>Ties to each Operating Companies' Workpaper B-3, Column F, showing the intial remeasurement value determined as a result of the TCJA of 2017</t>
  </si>
  <si>
    <t xml:space="preserve">The transmission functional amount in this column will be the portion amount that is recoverable in the formula rate, based on the book remeasurement recorded on books and then adjusted for the excess or deficient amounts of excludable ADIT differences.  This net total will be recorded on worksheet C-4. </t>
  </si>
  <si>
    <t>Updated but is this accurate</t>
  </si>
  <si>
    <t>Note 1 --- Oklahoma has enacted a corporate income tax rate change from 6% to 4% effective beginning in 2022.</t>
  </si>
  <si>
    <t>Apportionment based on 2021 tax returns</t>
  </si>
  <si>
    <t>EOY balance 282.1</t>
  </si>
  <si>
    <t>bOY balance 282.1</t>
  </si>
  <si>
    <t>TCOS</t>
  </si>
  <si>
    <t>EOY balance 283.1</t>
  </si>
  <si>
    <t>bOY balance 283.1</t>
  </si>
  <si>
    <t>EOY balance 190</t>
  </si>
  <si>
    <t>bOY balance 190</t>
  </si>
  <si>
    <t>Copy over to beginning balance</t>
  </si>
  <si>
    <t>2017 Pre-remeasurement Balance</t>
  </si>
  <si>
    <t>WS C-4</t>
  </si>
  <si>
    <t>General Advertising Expenses</t>
  </si>
  <si>
    <t>From FF1</t>
  </si>
  <si>
    <t>Misc State and Local</t>
  </si>
  <si>
    <t xml:space="preserve">PSO </t>
  </si>
  <si>
    <t xml:space="preserve">SWEPCO </t>
  </si>
  <si>
    <t xml:space="preserve">AECC </t>
  </si>
  <si>
    <t>AECC-MISO</t>
  </si>
  <si>
    <t>WFEC</t>
  </si>
  <si>
    <t xml:space="preserve">OMPA </t>
  </si>
  <si>
    <t>OG&amp;E ATOKA COALGATE</t>
  </si>
  <si>
    <t>OG&amp;E LINN</t>
  </si>
  <si>
    <t>OG&amp;E - TALL BEAR</t>
  </si>
  <si>
    <t xml:space="preserve">ETEC </t>
  </si>
  <si>
    <t>GREENBELT</t>
  </si>
  <si>
    <t>LIGHTHOUSE</t>
  </si>
  <si>
    <t>BENTONVILLE, AR</t>
  </si>
  <si>
    <t>PRESCOTT, AR (ENTERGY)</t>
  </si>
  <si>
    <t>MINDEN, LA (ENTERGY)</t>
  </si>
  <si>
    <t>HOPE, AR</t>
  </si>
  <si>
    <t>COFFEYVILLE, KS</t>
  </si>
  <si>
    <t>SWEPCO - VALLEY</t>
  </si>
  <si>
    <t>AECI</t>
  </si>
  <si>
    <t>P.030</t>
  </si>
  <si>
    <t>P.031</t>
  </si>
  <si>
    <t>Pryor Junction 138/115 kV</t>
  </si>
  <si>
    <t>Tulsa SE - S Hudson 138 kV</t>
  </si>
  <si>
    <t>Assoc Business Development Exp - Non-Transmission</t>
  </si>
  <si>
    <t>AEPM_PSO</t>
  </si>
  <si>
    <t>AEPM_SWEPCO</t>
  </si>
  <si>
    <t>CSWS.AECC</t>
  </si>
  <si>
    <t>CSWS.AECC_EAI</t>
  </si>
  <si>
    <t>AEPM_WFES</t>
  </si>
  <si>
    <t>AEPM_OMPA</t>
  </si>
  <si>
    <t>CSWSOKGEATCO</t>
  </si>
  <si>
    <t>AEPM_OGELINN</t>
  </si>
  <si>
    <t>AEPM_TB</t>
  </si>
  <si>
    <t>CSWS.ETEC</t>
  </si>
  <si>
    <t>AEPM_GREENBELT</t>
  </si>
  <si>
    <t>AEPM_LIGHTHOUSE</t>
  </si>
  <si>
    <t>AEPM_BENT</t>
  </si>
  <si>
    <t>AEPM_PRES</t>
  </si>
  <si>
    <t>AEPM_MIND</t>
  </si>
  <si>
    <t>AEPM_HOPE</t>
  </si>
  <si>
    <t>AEPM_CMLP</t>
  </si>
  <si>
    <t>AEPM_VALLEY</t>
  </si>
  <si>
    <t>AECI_KAMO.PSO</t>
  </si>
  <si>
    <t>Regulatory Commission Expense</t>
  </si>
  <si>
    <t>Regulatory Commission Expense - Case</t>
  </si>
  <si>
    <t>Rate Case Amortization</t>
  </si>
  <si>
    <t>Regulatory Commission Expense-FERC Transmission Cases</t>
  </si>
  <si>
    <t>ER18-194 &amp; 195</t>
  </si>
  <si>
    <t>165000223</t>
  </si>
  <si>
    <t>LT Coal Prepayment</t>
  </si>
  <si>
    <t>1650044</t>
  </si>
  <si>
    <t>Prepayment-Deferred Coal</t>
  </si>
  <si>
    <t>State Publ Serv CommissionFees</t>
  </si>
  <si>
    <t>Assoc Business Development Exp - Transmission</t>
  </si>
  <si>
    <t>Misc General Expenses</t>
  </si>
  <si>
    <t>Corporate &amp; Fiscal Expenses</t>
  </si>
  <si>
    <t>Research, Develop&amp;Demonstr Exp</t>
  </si>
  <si>
    <t>Assoc Bus Development - Materials Sold-Non Trans</t>
  </si>
  <si>
    <t>9280000</t>
  </si>
  <si>
    <t>Reg Commission Expense - OCC Annual Fees</t>
  </si>
  <si>
    <t>9280001</t>
  </si>
  <si>
    <t>9280002</t>
  </si>
  <si>
    <t>9280003</t>
  </si>
  <si>
    <t>9280005</t>
  </si>
  <si>
    <t>2020 SWEPCO Texas Base Case</t>
  </si>
  <si>
    <t>2021 SWEPCO-AR Base Case</t>
  </si>
  <si>
    <t>2022 SWEPCO AR Turk Filing</t>
  </si>
  <si>
    <t>23 SWEPCO TX DCRF</t>
  </si>
  <si>
    <t>2023 SWEPCO LA IRP</t>
  </si>
  <si>
    <t>2023 SWEPCO TX TCRF Filing</t>
  </si>
  <si>
    <t>23 LASWEP Storm Securitization</t>
  </si>
  <si>
    <t>23SWEPTX Fuel Surcharge Filing</t>
  </si>
  <si>
    <t>AR 2021 Winter Storm Inquiry</t>
  </si>
  <si>
    <t>EECRF Filing - SWEPCO</t>
  </si>
  <si>
    <t>SWEPCO 2020 Fuel Reconciliatio</t>
  </si>
  <si>
    <t>SWEPCO TX AMI meter deployment</t>
  </si>
  <si>
    <t>SWEPCO-LA AMI Meter Deployment</t>
  </si>
  <si>
    <t>LA Winter Restoration Costs</t>
  </si>
  <si>
    <t>LA Winter Storm FUEL Recovery</t>
  </si>
  <si>
    <t>2024 SWEPCO Arkansas IRP</t>
  </si>
  <si>
    <t>24 SWEPCO AR Formula Rate</t>
  </si>
  <si>
    <t>23 ARSWEPCO AMI Deployment</t>
  </si>
  <si>
    <t>23 Audit 2021 AR Winter Storm</t>
  </si>
  <si>
    <t>PUCT Attorney &amp; Consul Fees</t>
  </si>
  <si>
    <t>Gen Formula Rate Update-SWEPCo</t>
  </si>
  <si>
    <t>West OPCO &amp; Transco T-FR</t>
  </si>
  <si>
    <t>Regulatory Commission Exp</t>
  </si>
  <si>
    <t>Reg Commission Exp -Case</t>
  </si>
  <si>
    <t>Reg Commission Exp - Case</t>
  </si>
  <si>
    <t>Rate Case Amort</t>
  </si>
  <si>
    <t>Reg Commission Exp - Trans Cases</t>
  </si>
  <si>
    <t>9280006</t>
  </si>
  <si>
    <t>9302000</t>
  </si>
  <si>
    <t>9302003</t>
  </si>
  <si>
    <t>9302004</t>
  </si>
  <si>
    <t>9302006</t>
  </si>
  <si>
    <t>9302007</t>
  </si>
  <si>
    <t xml:space="preserve">Senior Unsecured Notes - Financial Hedges </t>
  </si>
  <si>
    <t xml:space="preserve"> LIDAR DEFERRAL</t>
  </si>
  <si>
    <t>COVID Deferral</t>
  </si>
  <si>
    <t>Major Storm Accrual</t>
  </si>
  <si>
    <t>1/1/2024 Beginning  Balances</t>
  </si>
  <si>
    <t>12/31/2024 Ending Balance</t>
  </si>
  <si>
    <t>Note A - Lines 1-20 are the FERC interest rates under section 35.19a  of the regulations for the period shown, as posted at https://www.ferc.gov/interest-caclulation-rates-and-methodology#</t>
  </si>
  <si>
    <t>Based on West Zone-SPP Monthly Transmission System Firm Peak Demands for the Twelve Months Ended December 31, 2024</t>
  </si>
  <si>
    <t>Labor Accrual - Various Departments</t>
  </si>
  <si>
    <t>Maverick Wind Facility</t>
  </si>
  <si>
    <t>Sundance Wind Facility</t>
  </si>
  <si>
    <t>SWEPCO-Wind</t>
  </si>
  <si>
    <t>Traverse Wind Facility</t>
  </si>
  <si>
    <t>2016 SWEPCO Base Case</t>
  </si>
  <si>
    <t>2019 SWEPCO LA Base Case Filng</t>
  </si>
  <si>
    <t>2019 SWEPCO Louisiana Base Cas</t>
  </si>
  <si>
    <t>SWEPCo TX Rate Filing - 2012</t>
  </si>
  <si>
    <t>23 SWEPCO TX TCRF</t>
  </si>
  <si>
    <t>2022 SWEPCO TX Fuel Recncltn</t>
  </si>
  <si>
    <t>2023 SWEPCO DCRF Filing</t>
  </si>
  <si>
    <t>25 SWEPCO AR Base Rate Case</t>
  </si>
  <si>
    <t>2024 Louisiana FRP Filing</t>
  </si>
  <si>
    <t>SWEPCO FERC Audit 2024</t>
  </si>
  <si>
    <t>SWEPCO Texas TCRF 1</t>
  </si>
  <si>
    <t>SWEPCOTX Grid Resiliency App</t>
  </si>
  <si>
    <t>24 SWEPCO RFP Arkansas NewGen</t>
  </si>
  <si>
    <t>SWEPCO AR Storm Reserve App</t>
  </si>
  <si>
    <t>SWEPCO LA Investig Rel Audit</t>
  </si>
  <si>
    <t>Pirkey Plant Retirement LPSC</t>
  </si>
  <si>
    <t>TX Fuel Reconciliation Filing</t>
  </si>
  <si>
    <t>SWEPCO Deloitte Load Analysis</t>
  </si>
  <si>
    <t>2024 SWEPCO TX DCRF</t>
  </si>
  <si>
    <t>25 SWEPCO TX DCRF</t>
  </si>
  <si>
    <t>24 TXSWEPCO Filing EEPR EECRF</t>
  </si>
  <si>
    <t>2024 SWEPCO RFP Arkansas CPA</t>
  </si>
  <si>
    <t>2024 SWEPCO RFP Louisiana CPA</t>
  </si>
  <si>
    <t>LPSC Order Capacity Alloc Plan</t>
  </si>
  <si>
    <t>SWEPCO Fuel Cost Recovery</t>
  </si>
  <si>
    <t>SWEPCO PSA Gen Revisions</t>
  </si>
  <si>
    <t>SWEPCO TX FILING - FUEL RECONC</t>
  </si>
  <si>
    <t>SEP AR BC RCE AMT</t>
  </si>
  <si>
    <t>SEP LA BC RCE AMT</t>
  </si>
  <si>
    <t>205 West OPCO &amp; Transco T-FR</t>
  </si>
  <si>
    <t>2006 - 282-ACCUM DEFD FEDERAL TBBS ADJ</t>
  </si>
  <si>
    <t>2010 - EXCESS ADFIT 282 - PROTECTED.</t>
  </si>
  <si>
    <t>2011 - EXCESS ADFIT 282 - UNPROTECTED.</t>
  </si>
  <si>
    <t>6002 - PT AFUDC Debt - NORM</t>
  </si>
  <si>
    <t>6004 - PT ARO - NORM</t>
  </si>
  <si>
    <t>6006 - PT Basis Adj - NORM</t>
  </si>
  <si>
    <t>6007 - PT CIAC - NORM</t>
  </si>
  <si>
    <t>6009 - PT COR - NORM</t>
  </si>
  <si>
    <t>6011 - PT CPI - NORM</t>
  </si>
  <si>
    <t>6018 - PT Method/Life - NORM</t>
  </si>
  <si>
    <t>6019 - PT Plant Acquisition Adj - NORM</t>
  </si>
  <si>
    <t>6021 - PT R&amp;D Adjustment - NORM</t>
  </si>
  <si>
    <t>6022 - PT Relocation Cost - NORM</t>
  </si>
  <si>
    <t>6024 - PT Repairs UOP - NORM</t>
  </si>
  <si>
    <t>6026 - PT Software - NORM</t>
  </si>
  <si>
    <t>6503 - 2021 280H 481(a)</t>
  </si>
  <si>
    <t>6523 - 2020 712L 481(a) Software</t>
  </si>
  <si>
    <t>7585 - BOOK OPERATING LEASE - ASSET</t>
  </si>
  <si>
    <t>8004 - PROPERTY TAX-Book - NORM</t>
  </si>
  <si>
    <t>8060 - IRS AUDIT SETTLEMENT</t>
  </si>
  <si>
    <t>2003 - EXCESS DSIT - UNPROTECTED OK</t>
  </si>
  <si>
    <t>2007 - 283-ACCUM DEFD FEDERAL TBBS ADJ</t>
  </si>
  <si>
    <t>2008 - 283-ACCUM DEFD STATE TBBS ADJ</t>
  </si>
  <si>
    <t>2012 - EXCESS ADFIT 283 - UNPROTECTED.</t>
  </si>
  <si>
    <t>3509 - ADSITC STATE C/F-DEF STATE TAX ASSET-L/T</t>
  </si>
  <si>
    <t>4031 - NOL-STATE C/F-DEF TAX ASSET-L/T - OK</t>
  </si>
  <si>
    <t>7026 - MTM BK GAIN-A/L-TAX DEFL</t>
  </si>
  <si>
    <t>7032 - ACCRUED BK PENSION EXPENSE</t>
  </si>
  <si>
    <t>7033 - ACCRUED BK PENSION COSTS - SFAS 158</t>
  </si>
  <si>
    <t>7085 - DEFD STORM DAMAGE</t>
  </si>
  <si>
    <t>7086 - RATE CASE DEFD CHGS</t>
  </si>
  <si>
    <t>7103 - BOOK &gt; TAX BASIS - EMA-A/C 283</t>
  </si>
  <si>
    <t>7137 - REG ASSET-SFAS 158 - PENSIONS</t>
  </si>
  <si>
    <t>7138 - REG ASSET-SFAS 158 - SERP</t>
  </si>
  <si>
    <t>7139 - REG ASSET-SFAS 158 - OPEB</t>
  </si>
  <si>
    <t>7141 - REG ASSET-RED ROCK FACILITY</t>
  </si>
  <si>
    <t>7175 - REG ASSET-NON-AMI METERS</t>
  </si>
  <si>
    <t>7176 - REG ASSET-NON-AMI METERS - AMORT</t>
  </si>
  <si>
    <t>7378 - REG ASSET-NE3/COMANCHE ENVIRON DEF</t>
  </si>
  <si>
    <t>7379 - REG ASSET-NE3/COMANCHE ENVIRON-CONTRA</t>
  </si>
  <si>
    <t>7389 - REG ASSET-INDEPENDENT EVALUATOR DEFRL</t>
  </si>
  <si>
    <t>7394 - REG ASSET-WIND CATCHER COST RECOV</t>
  </si>
  <si>
    <t>7401 - REG ASSET-NE U4 UNDEPRECIATED BALANCE</t>
  </si>
  <si>
    <t>7414 - REG ASSET-UNDER RECOV-EXCESS TAX ETRR</t>
  </si>
  <si>
    <t>7443 - Plant Sale-Payable</t>
  </si>
  <si>
    <t>7446 - REG ASSET-Distribution Reliability &amp; Safety Rider</t>
  </si>
  <si>
    <t>7488 - REG ASSET-NOLC Regulatory Asset</t>
  </si>
  <si>
    <t>7489 - REG ASSET-NOLC Reg Asset-Equity Carrying</t>
  </si>
  <si>
    <t>7491 - REG ASSET-Oklaunion Undepreciated Bal</t>
  </si>
  <si>
    <t>7559 - REG ASSET-NBV-ARO-RETIRED PLANTS</t>
  </si>
  <si>
    <t>7571 - LOSS ON REACQUIRED DEBT</t>
  </si>
  <si>
    <t>7575 - ACCRD SFAS 106 PST RETIRE EXP</t>
  </si>
  <si>
    <t>7583 - SFAS 106 - MEDICARE SUBSIDY - (PPACA)-REG ASSET</t>
  </si>
  <si>
    <t>8023 - TRANSACTION COSTS</t>
  </si>
  <si>
    <t>8053 - SFAS 106 PST RETIRE EXP - NON-DEDUCT CONT</t>
  </si>
  <si>
    <t>6020 - PT Pollution Control - NORM</t>
  </si>
  <si>
    <t>7019 - PSO-FUEL O/U RECOVERY-WSLE</t>
  </si>
  <si>
    <t>7021 - PROVS POSS REV REFDS-A/L</t>
  </si>
  <si>
    <t>7027 - INSURANCE PREMIUMS ACCRUED</t>
  </si>
  <si>
    <t>7029 - PROV WORKER'S COMP</t>
  </si>
  <si>
    <t>7034 - SUPPLEMENTAL EXECUTIVE RETIREMENT PLAN</t>
  </si>
  <si>
    <t>7035 - ACCRD SUP EXEC RETIR PLAN COSTS-SFAS 158</t>
  </si>
  <si>
    <t>7036 - ACCRD BK SUP. SAVINGS PLAN EXP</t>
  </si>
  <si>
    <t>7039 - ACCRD LEASED ASSET BK RENT EXP</t>
  </si>
  <si>
    <t>7040 - BK PROV UNCOLL ACCTS - ST</t>
  </si>
  <si>
    <t>7048 - ACCRD COMPANYWIDE INCENTV PLAN</t>
  </si>
  <si>
    <t>7052 - ACCRUED BOOK VACATION PAY</t>
  </si>
  <si>
    <t>7053 - ACCRD ENVIRONMENTAL LIAB-LONG TERM</t>
  </si>
  <si>
    <t>7054 - BOOK LEASES DEFERRED</t>
  </si>
  <si>
    <t>7055 - (ICDP)-INCENTIVE COMP DEFERRAL PLAN</t>
  </si>
  <si>
    <t>7083 - Litigation Accrual</t>
  </si>
  <si>
    <t>7104 - ADVANCE RENTAL INC (CUR MO)</t>
  </si>
  <si>
    <t>7110 - REG LIAB-UNREAL MTM GAIN-DEFL</t>
  </si>
  <si>
    <t>7463 - REG ASSET-Under Recovered NCW WFA</t>
  </si>
  <si>
    <t>7577 - ACCRD OPEB COSTS - SFAS 158</t>
  </si>
  <si>
    <t>7580 - ACCRD SFAS 112 PST EMPLOY BEN</t>
  </si>
  <si>
    <t>7581 - ACCRD BOOK ARO EXPENSE - SFAS 143</t>
  </si>
  <si>
    <t>7584 - BOOK OPERATING LEASE - LIAB</t>
  </si>
  <si>
    <t>8016 - STOCK BASED COMP-CAREER SHARES</t>
  </si>
  <si>
    <t>8018 - PROV-FAS 157 - A/L</t>
  </si>
  <si>
    <t>8022 - ORGANIZATION COSTS</t>
  </si>
  <si>
    <t>8062 - RESTRICTED STOCK PLAN</t>
  </si>
  <si>
    <t>3501 - TAX CREDIT C/F - DEF TAX ASSET(OLD)</t>
  </si>
  <si>
    <t>3508 - ACCUM DITC-STATE-A/C 2550002</t>
  </si>
  <si>
    <t>4041 - NOL - DEFERRED TAX ASSET RECLASS</t>
  </si>
  <si>
    <t>7202 - REG ASSET-UND/REC PSO BPF</t>
  </si>
  <si>
    <t>7002 - CUST ADV for Construction</t>
  </si>
  <si>
    <t>7061 - ACCRUED BK SEVERANCE BENEFITS</t>
  </si>
  <si>
    <t>3091 - TAX CREDIT C/F W DEF TAX</t>
  </si>
  <si>
    <t>165000224</t>
  </si>
  <si>
    <t>165001122/23/24</t>
  </si>
  <si>
    <t>165001222/23/24</t>
  </si>
  <si>
    <t>165001322/23/24</t>
  </si>
  <si>
    <t>6507 - AmortTurkImprmnt&amp;AFUDCReversal - NORM</t>
  </si>
  <si>
    <t>6508 - Turk Imprmnt-AuxBoiler</t>
  </si>
  <si>
    <t>6509 - TX Trans Veg Mgmt Cost Wrteoff</t>
  </si>
  <si>
    <t>6510 - TX Distr Veg Mgmt Cost Wrteoff</t>
  </si>
  <si>
    <t>6511 - TX Tran Veg Mgt WriteOff Amort</t>
  </si>
  <si>
    <t>6512 - TX Dist Veg Mgt WriteOff Amort</t>
  </si>
  <si>
    <t>6513 - Trans Costs - SERP</t>
  </si>
  <si>
    <t>6514 - Distr Costs - SERP</t>
  </si>
  <si>
    <t>6515 - Gen Costs - SERP</t>
  </si>
  <si>
    <t>6516 - CWIP FinBased Incen - Trans</t>
  </si>
  <si>
    <t>6517 - CWIP FinBased Incen - Distr</t>
  </si>
  <si>
    <t>6518 - CWIP FinBased Incen - Gen</t>
  </si>
  <si>
    <t>6519 - RWIP FinBased Incen - Trans</t>
  </si>
  <si>
    <t>6520 - RWIP FinBased Incen - Distr</t>
  </si>
  <si>
    <t>6521 - RWIP FinBased Incen - Gen</t>
  </si>
  <si>
    <t>3511 - NOL-STATE C/F-VA - CTA</t>
  </si>
  <si>
    <t>4004 - NOL-STATE C/F-DEF TAX ASSET-L/T - AR</t>
  </si>
  <si>
    <t>4018 - NOL-STATE C/F-DEF TAX ASSET-L/T - LA</t>
  </si>
  <si>
    <t>7028 - PROVISION FOR DAMAGES</t>
  </si>
  <si>
    <t>7081 - DEFD EXPS (A/C 186)</t>
  </si>
  <si>
    <t>7093 - SWEPCO FUEL ADJUSTMENT CHARGE</t>
  </si>
  <si>
    <t>7094 - Accrued COVID-19 Incremental Costs - non-TX</t>
  </si>
  <si>
    <t>7095 - Accrued COVID-19 Incremental Costs - TX</t>
  </si>
  <si>
    <t>7096 - Accrued COVID-19 Incremental Costs - non-TX Contra</t>
  </si>
  <si>
    <t>7114 - REG ASSET-SFAS 143 - ARO</t>
  </si>
  <si>
    <t>7117 - REG ASSET-DEFERRED LITIGATION COSTS</t>
  </si>
  <si>
    <t>7129 - SECURITIZATION II REGULATORY ASSETS</t>
  </si>
  <si>
    <t>7172 - REG ASSET-UND/REC ENVIRON ADJ CLAUSE-LA</t>
  </si>
  <si>
    <t>7189 - REG ASSET-VEMCO EMPLOYEE RETIREMENT</t>
  </si>
  <si>
    <t>7191 - REG ASSET-VEMCO ACQUIS/INVESTMENTS</t>
  </si>
  <si>
    <t>7193 - REG ASSET-SWEPCO/VEMCO TRANSACTION COST</t>
  </si>
  <si>
    <t>7258 - REG ASSET-LA FRP ASSET</t>
  </si>
  <si>
    <t>7278 - REG ASSET-ENERGY EFFICIENCY RECOVERY</t>
  </si>
  <si>
    <t>7308 - REG ASSET-ENVIRONMENTAL CHEMICAL COST-AR</t>
  </si>
  <si>
    <t>7360 - REG ASSET-FACILITIES MAINT-SWEPCO LA</t>
  </si>
  <si>
    <t>7380 - REG ASSET-WELSH/FLINT CRK ENVIRON DEF</t>
  </si>
  <si>
    <t>7381 - REG ASSET-WELSH/FLINT CRK ENVIRON-CONTRA</t>
  </si>
  <si>
    <t>7392 - REG ASSET-LA 2015 FRP-UNREC EQUITY</t>
  </si>
  <si>
    <t>7396 - REG ASSET-WELSH 2 TX-UNDEPR BAL</t>
  </si>
  <si>
    <t>7423 - REG ASSET-FERC Formula Rates Under Recvr</t>
  </si>
  <si>
    <t>7432 - REG ASSET-Deferred Mattison plant reservation fees</t>
  </si>
  <si>
    <t>7438 - REG ASSET-Accrued Line Inspection costs</t>
  </si>
  <si>
    <t>7440 - REG ASSET-Lamd Surface use obligation</t>
  </si>
  <si>
    <t>7455 - REG ASSET-Environmental CWIP - Pirkey</t>
  </si>
  <si>
    <t>7456 - REG ASSET-Environmental CWIP - Welsh</t>
  </si>
  <si>
    <t>7459 - REG ASSET-Dolet Hills Fuel-Deferred LA</t>
  </si>
  <si>
    <t>7486 - REG ASSET-Arkansas Def Fuel-LT Dolet Hls</t>
  </si>
  <si>
    <t>7487 - REG ASSET-Dolet TX Share Undeprec Bal</t>
  </si>
  <si>
    <t>7493 - REG ASSET-Dolet Hills TX Impairment</t>
  </si>
  <si>
    <t>7494 - REG ASSET-Retired Gas Plant Units - TX</t>
  </si>
  <si>
    <t>7495 - REG ASSET-Bad Debt Rider Under-Recovery</t>
  </si>
  <si>
    <t>7504 - REG ASSET-Texas AMS Under Recovery Asset</t>
  </si>
  <si>
    <t>7505 - REG ASSET-Texas AMS Regulatory Asset</t>
  </si>
  <si>
    <t>7506 - REG ASSET-Texas AMS Def Equity Asset</t>
  </si>
  <si>
    <t>7507 - REG ASSET-Dolet AR Share Undeprec Bal</t>
  </si>
  <si>
    <t>7508 - REG ASSET-Dolet Hills AR Impairment</t>
  </si>
  <si>
    <t>7509 - REG ASSET-AR Covid Recovery</t>
  </si>
  <si>
    <t>7512 - REG ASSET-Arkansas Wint Storm Eqt Carryg</t>
  </si>
  <si>
    <t>7522 - REG ASSET-Dolet LA Share Undeprec Bal</t>
  </si>
  <si>
    <t>7523 - REG ASSET-Pirkey LA Share Undeprec Bal</t>
  </si>
  <si>
    <t>7527 - Accrued Regulatory Fees</t>
  </si>
  <si>
    <t>7528 - REG ASSET-Pirkey AR Share Undeprec Bal</t>
  </si>
  <si>
    <t>7529 - Pirkey Lease Obligations - NC</t>
  </si>
  <si>
    <t>7531 - REG ASSET-LA Storm Carrying Charges</t>
  </si>
  <si>
    <t>7532 - REG ASSET-SWEPCo TX Fuel Mine Costs</t>
  </si>
  <si>
    <t>7533 - REG ASSET-Prepayment- Deferred Coal</t>
  </si>
  <si>
    <t>7538 - REG ASSET-LA AMS Regulatory Asset</t>
  </si>
  <si>
    <t>7540 - REG ASSET-LA AMS Def Equity Asset</t>
  </si>
  <si>
    <t>7544 - NOLC Regulatory Liability</t>
  </si>
  <si>
    <t>7567 - AMAX COAL CONTRACT-TX</t>
  </si>
  <si>
    <t>7572 - BK DEFL-GAIN REACQUIRED DEBT</t>
  </si>
  <si>
    <t>7592 - BK DEFL - MERGER COSTS</t>
  </si>
  <si>
    <t>7594 - BOOK &gt; TAX BASIS-PRTSHP INVEST</t>
  </si>
  <si>
    <t>7614 - REG ASSET-PIRKEY AR EQUITY CARRYING COST</t>
  </si>
  <si>
    <t>7616 - REG ASSET-MINING LAND AR CARRYING COSTS</t>
  </si>
  <si>
    <t>7618 - REG ASSET-UNRECOVERED TX LINE INSP COST</t>
  </si>
  <si>
    <t>7622 - REG ASSET-LA STORM COST SECURITIZATION</t>
  </si>
  <si>
    <t>8028 - REG ASSET-Dolet TX Share Undeprec Bal - Contra</t>
  </si>
  <si>
    <t>8030 - REG ASSET-Retired Gas Plant Units - TX - Contra</t>
  </si>
  <si>
    <t>3502 - CAMT CREDIT C/F (OLD)</t>
  </si>
  <si>
    <t>7015 - PUCT FUEL O/U RECOVERY-RETAIL</t>
  </si>
  <si>
    <t>7016 - INTEREST-FUEL OVER/UNDER RECOVERY</t>
  </si>
  <si>
    <t>7017 - AR - FUEL OVER/UNDER RECOVERY</t>
  </si>
  <si>
    <t>7018 - LA - FUEL OVER/UNDER RECOVERY</t>
  </si>
  <si>
    <t>7037 - ACCRUED PSI PLAN EXP</t>
  </si>
  <si>
    <t>7043 - ACCRUED MINE RECLAMATION</t>
  </si>
  <si>
    <t>7044 - DEFD COMPENSATION-BOOK EXPENSE</t>
  </si>
  <si>
    <t>7051 - ACCRD ENVIRONMENTAL LIAB-CURRENT</t>
  </si>
  <si>
    <t>7059 - BK ACCRL- COOK CT RENT HOLIDAY</t>
  </si>
  <si>
    <t>7064 - ACCRUED INTEREST EXP -STATE</t>
  </si>
  <si>
    <t>7065 - ACCRUED INTEREST-LONG-TERM - FIN 48</t>
  </si>
  <si>
    <t>7067 - BK DFL RAIL TRANS REV/EXP</t>
  </si>
  <si>
    <t>7105 - MISC PREPAID EXPENSES</t>
  </si>
  <si>
    <t>7566 - AMORT - GOODWILL PER BOOKS</t>
  </si>
  <si>
    <t>8007 - DEFD TAX GAIN - SEC I REG ASSET</t>
  </si>
  <si>
    <t>8017 - PROV-TRADING CREDIT RISK - A/L</t>
  </si>
  <si>
    <t>8031 - GOODWILL PER TAX</t>
  </si>
  <si>
    <t>e</t>
  </si>
  <si>
    <t>labor</t>
  </si>
  <si>
    <t>Regulatory labor impacting all Bus</t>
  </si>
  <si>
    <t>Regulatory Expenses directly assigned to Transmission BUs</t>
  </si>
  <si>
    <t>SWEPCO- Wind</t>
  </si>
  <si>
    <t>Regulatory activity impacting non-Transmission</t>
  </si>
  <si>
    <t>Public Service Fees</t>
  </si>
  <si>
    <t>Misc. Regulatory Expenses allocated to all Bus</t>
  </si>
  <si>
    <t>Federal and/or State Regulatory and Legislative activities</t>
  </si>
  <si>
    <t>Federal and/or AR State Regulatory and Legislative activities</t>
  </si>
  <si>
    <t>Federal and/or LA State Regulatory and Legislative activities</t>
  </si>
  <si>
    <t>2023 ARSWEP Formula Rate Review</t>
  </si>
  <si>
    <t>Regulatory labor impacting non-Transmission BUs</t>
  </si>
  <si>
    <t>Regulatory labor impacting Transmission BUs</t>
  </si>
  <si>
    <t>Regulatory activity impacting Transmission</t>
  </si>
  <si>
    <t>Misc Reg Expenses allocated to all BUs</t>
  </si>
  <si>
    <t>Reg Expenses directly assigned to Trans BUs</t>
  </si>
  <si>
    <t>Reg Expenses assigned to non-Transmission BUs</t>
  </si>
  <si>
    <t>Reg Labor impacting all BUs</t>
  </si>
  <si>
    <t>2018 PSO Base Case</t>
  </si>
  <si>
    <t>2022 PSO Base Case</t>
  </si>
  <si>
    <t>2023 PSO Base Case</t>
  </si>
  <si>
    <t>PSO 2021 Base Rate Case</t>
  </si>
  <si>
    <t>PSO 2021 Winter Strm Sectizatn</t>
  </si>
  <si>
    <t>PSO 2024 Oklahoma IRP Prep</t>
  </si>
  <si>
    <t>PSO Fuel Cost Recovery</t>
  </si>
  <si>
    <t>PSO Green Country Pre Approval</t>
  </si>
  <si>
    <t>PSO NOLC Regulatory Recovery</t>
  </si>
  <si>
    <t>Federal and/or OK State Regulatory and Legislative activities</t>
  </si>
  <si>
    <t>Ok Local Franchise Tax</t>
  </si>
  <si>
    <t>Unemployement TX</t>
  </si>
  <si>
    <t>6506 - AmortTurkImprmnt&amp;AFUDCReversal - FT</t>
  </si>
  <si>
    <t>Final Order Depreciation Rates / Depreciation Expense</t>
  </si>
  <si>
    <t>Case No. 2023-000086</t>
  </si>
  <si>
    <t xml:space="preserve">Actual / Projected 2023 Rate Year Cost of Service Formula Rate </t>
  </si>
  <si>
    <t>EFFECTIVE AS OF 01/01/2024</t>
  </si>
  <si>
    <t xml:space="preserve">Actual / Projected 2024 Rate Year Cost of Service Formula Rate </t>
  </si>
  <si>
    <t>yes!! It was CC-7 not PTCC</t>
  </si>
  <si>
    <t>165001123/24</t>
  </si>
  <si>
    <t>165001223/24</t>
  </si>
  <si>
    <t>P.032</t>
  </si>
  <si>
    <t>Catoosa-Blue Circle Rebuild</t>
  </si>
  <si>
    <t>P.033</t>
  </si>
  <si>
    <t>Chisholm Substation 345 kV Terminal Upgrades</t>
  </si>
  <si>
    <t>P.034</t>
  </si>
  <si>
    <t>Sooner - Wekiwa 345 kV Terminal Upgrades</t>
  </si>
  <si>
    <t>P.035</t>
  </si>
  <si>
    <t>Line - Osage - Webb City Tap - Shidler 138 kV Rebuild</t>
  </si>
  <si>
    <t>20xx Formal Challenge Refund with Interest</t>
  </si>
  <si>
    <t>S.075</t>
  </si>
  <si>
    <t>Siloam Springs 161 kV Rebuild</t>
  </si>
  <si>
    <t>S.076</t>
  </si>
  <si>
    <t>Shreveport - Wallace Lake 138 kV Rebuild</t>
  </si>
  <si>
    <t>S.077</t>
  </si>
  <si>
    <t>Layfield 500 kV Terminal Upgrades</t>
  </si>
  <si>
    <t>20XX Formal Challenge Refund with Interest</t>
  </si>
  <si>
    <t>PSO Native Load (a)</t>
  </si>
  <si>
    <t>100% PSO E&amp;W included in PSO native load</t>
  </si>
  <si>
    <t>Allen Holdenville</t>
  </si>
  <si>
    <t xml:space="preserve">SWEPCO Native Load </t>
  </si>
  <si>
    <t>Eastman Load added October 2018</t>
  </si>
  <si>
    <t>VALLEY</t>
  </si>
  <si>
    <t>Rayburn</t>
  </si>
  <si>
    <t>PSO OATT Sched 9 load, Ln 1</t>
  </si>
  <si>
    <t>less GRDA load on PSO Jan-Nov(b) 2015 no longer used</t>
  </si>
  <si>
    <t xml:space="preserve">     WFEC load already subtracted  from PSO schedule 9 load line 1</t>
  </si>
  <si>
    <t>Subtotal PSO Schedule 11 load</t>
  </si>
  <si>
    <t>SWEPCO Sched 11 load, Ln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</si>
</sst>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_(* #,##0.0000_);_(* \(#,##0.0000\);_(* &quot;-&quot;????_);_(@_)"/>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0.0_);[Red]\(#,##0.0\)"/>
    <numFmt numFmtId="186" formatCode="_(* #,##0.0000_);_(* \(#,##0.0000\);_(* &quot;-&quot;??_);_(@_)"/>
    <numFmt numFmtId="187" formatCode="0.0%"/>
    <numFmt numFmtId="188" formatCode="_(* #,##0.000_);_(* \(#,##0.000\);_(* &quot;-&quot;_);_(@_)"/>
    <numFmt numFmtId="189" formatCode="#,##0.000000"/>
    <numFmt numFmtId="190" formatCode="mmmm\ d\,\ yyyy"/>
    <numFmt numFmtId="191" formatCode="0.0000000%"/>
    <numFmt numFmtId="192" formatCode="_(* #,##0.00_);_(* \(#,##0.00\);_(* &quot;-&quot;_);_(@_)"/>
    <numFmt numFmtId="193" formatCode="0.000"/>
    <numFmt numFmtId="194" formatCode="mm/dd/yy;@"/>
    <numFmt numFmtId="195" formatCode="&quot;$&quot;#,##0\ ;\(&quot;$&quot;#,##0\)"/>
    <numFmt numFmtId="196" formatCode="_(* #,##0.0,_);_(* \(#,##0.0,\);_(* &quot;-   &quot;_);_(@_)"/>
    <numFmt numFmtId="197" formatCode="_(* #,##0.00000000_);_(* \(#,##0.00000000\);_(* &quot;-&quot;??_);_(@_)"/>
    <numFmt numFmtId="198" formatCode="0.0"/>
    <numFmt numFmtId="199" formatCode="0_);\(0\)"/>
    <numFmt numFmtId="200" formatCode="#,##0.000000_);\(#,##0.000000\)"/>
    <numFmt numFmtId="201" formatCode="0.000000_)"/>
    <numFmt numFmtId="202" formatCode="General_)"/>
    <numFmt numFmtId="203" formatCode="_(* #,##0.000_);_(* \(#,##0.000\);_(* &quot;-&quot;??_);_(@_)"/>
    <numFmt numFmtId="204" formatCode="#,##0.000000000"/>
  </numFmts>
  <fonts count="2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9"/>
      <name val="Arial"/>
      <family val="2"/>
    </font>
    <font>
      <b/>
      <sz val="9"/>
      <name val="Arial"/>
      <family val="2"/>
    </font>
    <font>
      <i/>
      <sz val="12"/>
      <name val="Arial"/>
      <family val="2"/>
    </font>
    <font>
      <b/>
      <sz val="18"/>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sz val="10"/>
      <name val="Helv"/>
    </font>
    <font>
      <sz val="14"/>
      <name val="Helv"/>
    </font>
    <font>
      <b/>
      <u/>
      <sz val="14"/>
      <name val="Helv"/>
    </font>
    <font>
      <b/>
      <sz val="14"/>
      <name val="Helv"/>
    </font>
    <font>
      <sz val="12"/>
      <name val="Helv"/>
    </font>
    <font>
      <b/>
      <sz val="12"/>
      <name val="Arial MT"/>
    </font>
    <font>
      <b/>
      <u/>
      <sz val="14"/>
      <name val="Arial"/>
      <family val="2"/>
    </font>
    <font>
      <u/>
      <sz val="12"/>
      <name val="Times New Roman"/>
      <family val="1"/>
    </font>
    <font>
      <u val="singleAccounting"/>
      <sz val="10"/>
      <name val="Arial"/>
      <family val="2"/>
    </font>
    <font>
      <b/>
      <i/>
      <u/>
      <sz val="12"/>
      <name val="Arial"/>
      <family val="2"/>
    </font>
    <font>
      <b/>
      <sz val="10"/>
      <name val="Times New Roman"/>
      <family val="1"/>
    </font>
    <font>
      <b/>
      <sz val="20"/>
      <name val="Arial"/>
      <family val="2"/>
    </font>
    <font>
      <sz val="10"/>
      <name val="Arial MT"/>
    </font>
    <font>
      <b/>
      <sz val="20"/>
      <name val="Arial MT"/>
    </font>
    <font>
      <sz val="16"/>
      <name val="Arial MT"/>
    </font>
    <font>
      <b/>
      <sz val="16"/>
      <name val="Arial MT"/>
    </font>
    <font>
      <b/>
      <u/>
      <sz val="12"/>
      <name val="Arial MT"/>
    </font>
    <font>
      <sz val="8"/>
      <name val="Arial"/>
      <family val="2"/>
    </font>
    <font>
      <strike/>
      <sz val="12"/>
      <name val="Arial"/>
      <family val="2"/>
    </font>
    <font>
      <b/>
      <sz val="10"/>
      <name val="Arial Narrow"/>
      <family val="2"/>
    </font>
    <font>
      <strike/>
      <sz val="10"/>
      <name val="Arial"/>
      <family val="2"/>
    </font>
    <font>
      <sz val="12"/>
      <name val="Times New Roman"/>
      <family val="1"/>
    </font>
    <font>
      <b/>
      <sz val="12"/>
      <name val="Arial Narrow"/>
      <family val="2"/>
    </font>
    <font>
      <b/>
      <sz val="12"/>
      <name val="Helv"/>
    </font>
    <font>
      <sz val="10"/>
      <color indexed="10"/>
      <name val="Arial"/>
      <family val="2"/>
    </font>
    <font>
      <sz val="10"/>
      <color indexed="12"/>
      <name val="Arial"/>
      <family val="2"/>
    </font>
    <font>
      <sz val="10"/>
      <color indexed="9"/>
      <name val="Arial"/>
      <family val="2"/>
    </font>
    <font>
      <sz val="14"/>
      <color indexed="12"/>
      <name val="Arial"/>
      <family val="2"/>
    </font>
    <font>
      <sz val="11"/>
      <color indexed="12"/>
      <name val="Arial"/>
      <family val="2"/>
    </font>
    <font>
      <b/>
      <i/>
      <sz val="10"/>
      <name val="Arial"/>
      <family val="2"/>
    </font>
    <font>
      <b/>
      <strike/>
      <sz val="14"/>
      <name val="Arial"/>
      <family val="2"/>
    </font>
    <font>
      <b/>
      <strike/>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2"/>
      <color indexed="2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8"/>
      <name val="Calibri"/>
      <family val="2"/>
    </font>
    <font>
      <b/>
      <sz val="13.5"/>
      <name val="Arial"/>
      <family val="2"/>
    </font>
    <font>
      <sz val="13.5"/>
      <name val="Arial MT"/>
    </font>
    <font>
      <sz val="13.5"/>
      <name val="Arial"/>
      <family val="2"/>
    </font>
    <font>
      <sz val="11"/>
      <color indexed="8"/>
      <name val="Calibri"/>
      <family val="2"/>
    </font>
    <font>
      <sz val="12"/>
      <color indexed="10"/>
      <name val="Arial"/>
      <family val="2"/>
    </font>
    <font>
      <sz val="14"/>
      <color indexed="10"/>
      <name val="Arial"/>
      <family val="2"/>
    </font>
    <font>
      <sz val="10"/>
      <color indexed="12"/>
      <name val="Arial"/>
      <family val="2"/>
    </font>
    <font>
      <b/>
      <strike/>
      <sz val="16"/>
      <color indexed="10"/>
      <name val="Arial"/>
      <family val="2"/>
    </font>
    <font>
      <sz val="14"/>
      <color indexed="10"/>
      <name val="Times New Roman"/>
      <family val="1"/>
    </font>
    <font>
      <b/>
      <strike/>
      <sz val="14"/>
      <color indexed="10"/>
      <name val="Arial"/>
      <family val="2"/>
    </font>
    <font>
      <sz val="10"/>
      <name val="Arial"/>
      <family val="2"/>
    </font>
    <font>
      <u/>
      <sz val="11"/>
      <name val="Arial"/>
      <family val="2"/>
    </font>
    <font>
      <b/>
      <sz val="12"/>
      <name val="Times New Roman"/>
      <family val="1"/>
    </font>
    <font>
      <u/>
      <sz val="12"/>
      <name val="Times New Roman"/>
      <family val="2"/>
    </font>
    <font>
      <sz val="10"/>
      <name val="Cambria"/>
      <family val="1"/>
    </font>
    <font>
      <b/>
      <sz val="10"/>
      <name val="Cambria"/>
      <family val="1"/>
    </font>
    <font>
      <b/>
      <strike/>
      <sz val="16"/>
      <name val="Arial"/>
      <family val="2"/>
    </font>
    <font>
      <b/>
      <sz val="16"/>
      <name val="MS Serif"/>
      <family val="1"/>
    </font>
    <font>
      <strike/>
      <sz val="13.5"/>
      <name val="Arial"/>
      <family val="2"/>
    </font>
    <font>
      <b/>
      <strike/>
      <sz val="16"/>
      <name val="Cambria"/>
      <family val="1"/>
    </font>
    <font>
      <sz val="10"/>
      <color indexed="10"/>
      <name val="Arial"/>
      <family val="2"/>
    </font>
    <font>
      <sz val="10"/>
      <name val="Arial"/>
      <family val="2"/>
    </font>
    <font>
      <sz val="10"/>
      <name val="Arial"/>
      <family val="2"/>
    </font>
    <font>
      <sz val="10"/>
      <name val="Arial"/>
      <family val="2"/>
    </font>
    <font>
      <b/>
      <sz val="12"/>
      <color indexed="12"/>
      <name val="Arial"/>
      <family val="2"/>
    </font>
    <font>
      <sz val="10"/>
      <color indexed="13"/>
      <name val="Arial"/>
      <family val="2"/>
    </font>
    <font>
      <b/>
      <i/>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2"/>
      <color rgb="FFFF0000"/>
      <name val="Arial"/>
      <family val="2"/>
    </font>
    <font>
      <sz val="14"/>
      <color rgb="FFFF0000"/>
      <name val="Arial"/>
      <family val="2"/>
    </font>
    <font>
      <sz val="10"/>
      <color indexed="40"/>
      <name val="Arial"/>
      <family val="2"/>
    </font>
    <font>
      <sz val="10"/>
      <color indexed="40"/>
      <name val="Times New Roman"/>
      <family val="1"/>
    </font>
    <font>
      <sz val="10"/>
      <color indexed="8"/>
      <name val="Helv"/>
    </font>
    <font>
      <b/>
      <i/>
      <u/>
      <sz val="10"/>
      <name val="Arial"/>
      <family val="2"/>
    </font>
    <font>
      <sz val="13"/>
      <name val="Times New Roman"/>
      <family val="1"/>
    </font>
    <font>
      <sz val="10"/>
      <name val="Courier"/>
      <family val="3"/>
    </font>
    <font>
      <sz val="10"/>
      <color indexed="8"/>
      <name val="Century Schoolbook"/>
      <family val="2"/>
    </font>
    <font>
      <sz val="10"/>
      <color indexed="9"/>
      <name val="Century Schoolbook"/>
      <family val="2"/>
    </font>
    <font>
      <sz val="10"/>
      <color indexed="20"/>
      <name val="Century Schoolbook"/>
      <family val="2"/>
    </font>
    <font>
      <b/>
      <sz val="10"/>
      <color indexed="52"/>
      <name val="Century Schoolbook"/>
      <family val="2"/>
    </font>
    <font>
      <b/>
      <sz val="10"/>
      <color indexed="9"/>
      <name val="Century Schoolbook"/>
      <family val="2"/>
    </font>
    <font>
      <i/>
      <sz val="10"/>
      <color indexed="23"/>
      <name val="Century Schoolbook"/>
      <family val="2"/>
    </font>
    <font>
      <sz val="10"/>
      <color indexed="17"/>
      <name val="Century Schoolbook"/>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entury Schoolbook"/>
      <family val="2"/>
    </font>
    <font>
      <u/>
      <sz val="7.5"/>
      <color indexed="12"/>
      <name val="Courier"/>
      <family val="3"/>
    </font>
    <font>
      <u/>
      <sz val="7.5"/>
      <color indexed="12"/>
      <name val="MS Sans Serif"/>
      <family val="2"/>
    </font>
    <font>
      <u/>
      <sz val="8"/>
      <color indexed="12"/>
      <name val="Arial"/>
      <family val="2"/>
    </font>
    <font>
      <sz val="10"/>
      <color indexed="62"/>
      <name val="Century Schoolbook"/>
      <family val="2"/>
    </font>
    <font>
      <sz val="10"/>
      <color indexed="52"/>
      <name val="Century Schoolbook"/>
      <family val="2"/>
    </font>
    <font>
      <sz val="10"/>
      <color indexed="60"/>
      <name val="Century Schoolbook"/>
      <family val="2"/>
    </font>
    <font>
      <b/>
      <sz val="10"/>
      <color indexed="63"/>
      <name val="Century Schoolbook"/>
      <family val="2"/>
    </font>
    <font>
      <b/>
      <sz val="18"/>
      <color indexed="62"/>
      <name val="Cambria"/>
      <family val="2"/>
    </font>
    <font>
      <b/>
      <sz val="11"/>
      <color indexed="8"/>
      <name val="Calibri"/>
      <family val="2"/>
    </font>
    <font>
      <sz val="10"/>
      <color indexed="10"/>
      <name val="Century Schoolbook"/>
      <family val="2"/>
    </font>
    <font>
      <sz val="10"/>
      <color theme="1"/>
      <name val="Arial"/>
      <family val="2"/>
    </font>
    <font>
      <sz val="12"/>
      <color theme="1"/>
      <name val="Arial"/>
      <family val="2"/>
    </font>
    <font>
      <b/>
      <sz val="12"/>
      <color theme="1"/>
      <name val="Arial"/>
      <family val="2"/>
    </font>
    <font>
      <b/>
      <sz val="10"/>
      <color theme="1"/>
      <name val="Arial"/>
      <family val="2"/>
    </font>
    <font>
      <b/>
      <sz val="11"/>
      <color theme="1"/>
      <name val="Arial"/>
      <family val="2"/>
    </font>
    <font>
      <b/>
      <u/>
      <sz val="11"/>
      <name val="Arial"/>
      <family val="2"/>
    </font>
    <font>
      <sz val="12"/>
      <name val="Arial Narrow"/>
      <family val="2"/>
    </font>
    <font>
      <b/>
      <u/>
      <sz val="12"/>
      <name val="Arial Narrow"/>
      <family val="2"/>
    </font>
    <font>
      <b/>
      <i/>
      <sz val="12"/>
      <name val="Arial Narrow"/>
      <family val="2"/>
    </font>
    <font>
      <u/>
      <sz val="12"/>
      <name val="Arial Narrow"/>
      <family val="2"/>
    </font>
    <font>
      <u/>
      <sz val="10"/>
      <name val="Times New Roman"/>
      <family val="1"/>
    </font>
    <font>
      <sz val="10"/>
      <name val="Arial Black"/>
      <family val="2"/>
    </font>
    <font>
      <b/>
      <sz val="10"/>
      <name val="Arial MT"/>
    </font>
    <font>
      <i/>
      <sz val="10"/>
      <name val="Arial Condensed Bold"/>
    </font>
    <font>
      <b/>
      <i/>
      <sz val="10"/>
      <name val="Arial MT"/>
    </font>
    <font>
      <b/>
      <i/>
      <sz val="12"/>
      <name val="Arial MT"/>
    </font>
    <font>
      <b/>
      <sz val="8"/>
      <color indexed="81"/>
      <name val="Tahoma"/>
      <family val="2"/>
    </font>
    <font>
      <sz val="8"/>
      <color indexed="81"/>
      <name val="Tahoma"/>
      <family val="2"/>
    </font>
    <font>
      <b/>
      <sz val="10"/>
      <color indexed="81"/>
      <name val="Tahoma"/>
      <family val="2"/>
    </font>
    <font>
      <sz val="10"/>
      <color indexed="81"/>
      <name val="Tahoma"/>
      <family val="2"/>
    </font>
    <font>
      <sz val="10"/>
      <name val="Arial"/>
      <family val="2"/>
    </font>
    <font>
      <sz val="14"/>
      <color indexed="12"/>
      <name val="Helv"/>
    </font>
    <font>
      <sz val="14"/>
      <color rgb="FF0000FF"/>
      <name val="Arial"/>
      <family val="2"/>
    </font>
    <font>
      <sz val="9"/>
      <color indexed="81"/>
      <name val="Tahoma"/>
      <family val="2"/>
    </font>
    <font>
      <b/>
      <sz val="9"/>
      <color indexed="81"/>
      <name val="Tahoma"/>
      <family val="2"/>
    </font>
    <font>
      <sz val="10"/>
      <name val="Arial"/>
      <family val="2"/>
    </font>
    <font>
      <sz val="16"/>
      <name val="Arial"/>
      <family val="2"/>
    </font>
    <font>
      <sz val="12"/>
      <name val="Arial MT"/>
      <family val="2"/>
    </font>
    <font>
      <sz val="9"/>
      <color rgb="FFFF0000"/>
      <name val="Arial"/>
      <family val="2"/>
    </font>
    <font>
      <sz val="10"/>
      <name val="Arial MT"/>
      <family val="2"/>
    </font>
    <font>
      <sz val="9"/>
      <name val="Arial MT"/>
      <family val="2"/>
    </font>
    <font>
      <sz val="9"/>
      <name val="Calibri Light"/>
      <family val="2"/>
    </font>
    <font>
      <b/>
      <sz val="9"/>
      <name val="Calibri Light"/>
      <family val="2"/>
    </font>
    <font>
      <sz val="11"/>
      <color rgb="FF000000"/>
      <name val="Calibri"/>
      <family val="2"/>
      <scheme val="minor"/>
    </font>
    <font>
      <b/>
      <sz val="9"/>
      <name val="Cambria"/>
      <family val="2"/>
      <scheme val="major"/>
    </font>
    <font>
      <sz val="10"/>
      <name val="Calibri"/>
      <family val="2"/>
      <scheme val="minor"/>
    </font>
    <font>
      <sz val="10"/>
      <color theme="1"/>
      <name val="Calibri"/>
      <family val="2"/>
      <scheme val="minor"/>
    </font>
    <font>
      <b/>
      <sz val="10"/>
      <name val="Calibri"/>
      <family val="2"/>
      <scheme val="minor"/>
    </font>
    <font>
      <sz val="12"/>
      <name val="Calibri"/>
      <family val="2"/>
      <scheme val="minor"/>
    </font>
    <font>
      <sz val="9"/>
      <name val="Calibri"/>
      <family val="2"/>
      <scheme val="minor"/>
    </font>
    <font>
      <b/>
      <sz val="11"/>
      <color rgb="FF000000"/>
      <name val="Calibri"/>
      <family val="2"/>
      <scheme val="minor"/>
    </font>
    <font>
      <b/>
      <sz val="11"/>
      <name val="Calibri"/>
      <family val="2"/>
      <scheme val="minor"/>
    </font>
    <font>
      <sz val="11"/>
      <name val="Calibri"/>
      <family val="2"/>
      <scheme val="minor"/>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indexed="23"/>
      </patternFill>
    </fill>
    <fill>
      <patternFill patternType="solid">
        <fgColor indexed="54"/>
      </patternFill>
    </fill>
    <fill>
      <patternFill patternType="solid">
        <fgColor indexed="14"/>
      </patternFill>
    </fill>
    <fill>
      <patternFill patternType="solid">
        <fgColor indexed="15"/>
        <bgColor indexed="64"/>
      </patternFill>
    </fill>
    <fill>
      <patternFill patternType="solid">
        <fgColor indexed="14"/>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24991607409894101"/>
        <bgColor indexed="64"/>
      </patternFill>
    </fill>
    <fill>
      <patternFill patternType="solid">
        <fgColor rgb="FFCCFFFF"/>
        <bgColor indexed="64"/>
      </patternFill>
    </fill>
    <fill>
      <patternFill patternType="darkUp">
        <bgColor theme="0" tint="-0.14990691854609822"/>
      </patternFill>
    </fill>
    <fill>
      <patternFill patternType="darkUp">
        <bgColor theme="0"/>
      </patternFill>
    </fill>
  </fills>
  <borders count="88">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8"/>
      </bottom>
      <diagonal/>
    </border>
    <border>
      <left/>
      <right/>
      <top style="medium">
        <color indexed="8"/>
      </top>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bottom style="double">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style="thin">
        <color rgb="FFCCCCCC"/>
      </left>
      <right style="thin">
        <color rgb="FFCCCCCC"/>
      </right>
      <top style="thin">
        <color rgb="FFCCCCCC"/>
      </top>
      <bottom style="thin">
        <color rgb="FFCCCCCC"/>
      </bottom>
      <diagonal/>
    </border>
    <border>
      <left/>
      <right/>
      <top style="thin">
        <color indexed="64"/>
      </top>
      <bottom style="medium">
        <color indexed="64"/>
      </bottom>
      <diagonal/>
    </border>
  </borders>
  <cellStyleXfs count="1564">
    <xf numFmtId="0" fontId="0" fillId="0" borderId="0"/>
    <xf numFmtId="0" fontId="30"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140" fillId="29" borderId="0" applyNumberFormat="0" applyBorder="0" applyAlignment="0" applyProtection="0"/>
    <xf numFmtId="0" fontId="30" fillId="2" borderId="0" applyNumberFormat="0" applyBorder="0" applyAlignment="0" applyProtection="0"/>
    <xf numFmtId="0" fontId="95" fillId="2"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0" fontId="95" fillId="3" borderId="0" applyNumberFormat="0" applyBorder="0" applyAlignment="0" applyProtection="0"/>
    <xf numFmtId="0" fontId="140" fillId="30" borderId="0" applyNumberFormat="0" applyBorder="0" applyAlignment="0" applyProtection="0"/>
    <xf numFmtId="0" fontId="30" fillId="3" borderId="0" applyNumberFormat="0" applyBorder="0" applyAlignment="0" applyProtection="0"/>
    <xf numFmtId="0" fontId="95" fillId="3" borderId="0" applyNumberFormat="0" applyBorder="0" applyAlignment="0" applyProtection="0"/>
    <xf numFmtId="0" fontId="30"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140" fillId="31" borderId="0" applyNumberFormat="0" applyBorder="0" applyAlignment="0" applyProtection="0"/>
    <xf numFmtId="0" fontId="30" fillId="4" borderId="0" applyNumberFormat="0" applyBorder="0" applyAlignment="0" applyProtection="0"/>
    <xf numFmtId="0" fontId="95" fillId="4"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40" fillId="32"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30" fillId="6" borderId="0" applyNumberFormat="0" applyBorder="0" applyAlignment="0" applyProtection="0"/>
    <xf numFmtId="0" fontId="95" fillId="6" borderId="0" applyNumberFormat="0" applyBorder="0" applyAlignment="0" applyProtection="0"/>
    <xf numFmtId="0" fontId="95" fillId="6" borderId="0" applyNumberFormat="0" applyBorder="0" applyAlignment="0" applyProtection="0"/>
    <xf numFmtId="0" fontId="140" fillId="33" borderId="0" applyNumberFormat="0" applyBorder="0" applyAlignment="0" applyProtection="0"/>
    <xf numFmtId="0" fontId="30" fillId="6" borderId="0" applyNumberFormat="0" applyBorder="0" applyAlignment="0" applyProtection="0"/>
    <xf numFmtId="0" fontId="95" fillId="6" borderId="0" applyNumberFormat="0" applyBorder="0" applyAlignment="0" applyProtection="0"/>
    <xf numFmtId="0" fontId="30"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140" fillId="34" borderId="0" applyNumberFormat="0" applyBorder="0" applyAlignment="0" applyProtection="0"/>
    <xf numFmtId="0" fontId="30" fillId="7" borderId="0" applyNumberFormat="0" applyBorder="0" applyAlignment="0" applyProtection="0"/>
    <xf numFmtId="0" fontId="95" fillId="7"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40" fillId="35"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40" fillId="36"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40" fillId="37"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40" fillId="38" borderId="0" applyNumberFormat="0" applyBorder="0" applyAlignment="0" applyProtection="0"/>
    <xf numFmtId="0" fontId="30" fillId="5" borderId="0" applyNumberFormat="0" applyBorder="0" applyAlignment="0" applyProtection="0"/>
    <xf numFmtId="0" fontId="95" fillId="5"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40" fillId="39" borderId="0" applyNumberFormat="0" applyBorder="0" applyAlignment="0" applyProtection="0"/>
    <xf numFmtId="0" fontId="30" fillId="8" borderId="0" applyNumberFormat="0" applyBorder="0" applyAlignment="0" applyProtection="0"/>
    <xf numFmtId="0" fontId="95" fillId="8" borderId="0" applyNumberFormat="0" applyBorder="0" applyAlignment="0" applyProtection="0"/>
    <xf numFmtId="0" fontId="30"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140" fillId="40" borderId="0" applyNumberFormat="0" applyBorder="0" applyAlignment="0" applyProtection="0"/>
    <xf numFmtId="0" fontId="30" fillId="11" borderId="0" applyNumberFormat="0" applyBorder="0" applyAlignment="0" applyProtection="0"/>
    <xf numFmtId="0" fontId="95" fillId="11" borderId="0" applyNumberFormat="0" applyBorder="0" applyAlignment="0" applyProtection="0"/>
    <xf numFmtId="0" fontId="31" fillId="12"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41" fillId="41" borderId="0" applyNumberFormat="0" applyBorder="0" applyAlignment="0" applyProtection="0"/>
    <xf numFmtId="0" fontId="31" fillId="12" borderId="0" applyNumberFormat="0" applyBorder="0" applyAlignment="0" applyProtection="0"/>
    <xf numFmtId="0" fontId="96" fillId="12" borderId="0" applyNumberFormat="0" applyBorder="0" applyAlignment="0" applyProtection="0"/>
    <xf numFmtId="0" fontId="31"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41" fillId="42" borderId="0" applyNumberFormat="0" applyBorder="0" applyAlignment="0" applyProtection="0"/>
    <xf numFmtId="0" fontId="31" fillId="9" borderId="0" applyNumberFormat="0" applyBorder="0" applyAlignment="0" applyProtection="0"/>
    <xf numFmtId="0" fontId="96" fillId="9" borderId="0" applyNumberFormat="0" applyBorder="0" applyAlignment="0" applyProtection="0"/>
    <xf numFmtId="0" fontId="31"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41" fillId="43" borderId="0" applyNumberFormat="0" applyBorder="0" applyAlignment="0" applyProtection="0"/>
    <xf numFmtId="0" fontId="31" fillId="10" borderId="0" applyNumberFormat="0" applyBorder="0" applyAlignment="0" applyProtection="0"/>
    <xf numFmtId="0" fontId="96" fillId="10"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41" fillId="44"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96" fillId="14" borderId="0" applyNumberFormat="0" applyBorder="0" applyAlignment="0" applyProtection="0"/>
    <xf numFmtId="0" fontId="141" fillId="45"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31" fillId="15" borderId="0" applyNumberFormat="0" applyBorder="0" applyAlignment="0" applyProtection="0"/>
    <xf numFmtId="0" fontId="96" fillId="15" borderId="0" applyNumberFormat="0" applyBorder="0" applyAlignment="0" applyProtection="0"/>
    <xf numFmtId="0" fontId="96" fillId="15" borderId="0" applyNumberFormat="0" applyBorder="0" applyAlignment="0" applyProtection="0"/>
    <xf numFmtId="0" fontId="141" fillId="46" borderId="0" applyNumberFormat="0" applyBorder="0" applyAlignment="0" applyProtection="0"/>
    <xf numFmtId="0" fontId="31" fillId="15" borderId="0" applyNumberFormat="0" applyBorder="0" applyAlignment="0" applyProtection="0"/>
    <xf numFmtId="0" fontId="96" fillId="15" borderId="0" applyNumberFormat="0" applyBorder="0" applyAlignment="0" applyProtection="0"/>
    <xf numFmtId="0" fontId="31" fillId="16" borderId="0" applyNumberFormat="0" applyBorder="0" applyAlignment="0" applyProtection="0"/>
    <xf numFmtId="0" fontId="96" fillId="16" borderId="0" applyNumberFormat="0" applyBorder="0" applyAlignment="0" applyProtection="0"/>
    <xf numFmtId="0" fontId="96" fillId="16" borderId="0" applyNumberFormat="0" applyBorder="0" applyAlignment="0" applyProtection="0"/>
    <xf numFmtId="0" fontId="141" fillId="47" borderId="0" applyNumberFormat="0" applyBorder="0" applyAlignment="0" applyProtection="0"/>
    <xf numFmtId="0" fontId="31" fillId="16" borderId="0" applyNumberFormat="0" applyBorder="0" applyAlignment="0" applyProtection="0"/>
    <xf numFmtId="0" fontId="96" fillId="16" borderId="0" applyNumberFormat="0" applyBorder="0" applyAlignment="0" applyProtection="0"/>
    <xf numFmtId="0" fontId="31" fillId="17" borderId="0" applyNumberFormat="0" applyBorder="0" applyAlignment="0" applyProtection="0"/>
    <xf numFmtId="0" fontId="96" fillId="17" borderId="0" applyNumberFormat="0" applyBorder="0" applyAlignment="0" applyProtection="0"/>
    <xf numFmtId="0" fontId="96" fillId="17" borderId="0" applyNumberFormat="0" applyBorder="0" applyAlignment="0" applyProtection="0"/>
    <xf numFmtId="0" fontId="141" fillId="48" borderId="0" applyNumberFormat="0" applyBorder="0" applyAlignment="0" applyProtection="0"/>
    <xf numFmtId="0" fontId="31" fillId="17" borderId="0" applyNumberFormat="0" applyBorder="0" applyAlignment="0" applyProtection="0"/>
    <xf numFmtId="0" fontId="96" fillId="17" borderId="0" applyNumberFormat="0" applyBorder="0" applyAlignment="0" applyProtection="0"/>
    <xf numFmtId="0" fontId="31" fillId="18" borderId="0" applyNumberFormat="0" applyBorder="0" applyAlignment="0" applyProtection="0"/>
    <xf numFmtId="0" fontId="96" fillId="18" borderId="0" applyNumberFormat="0" applyBorder="0" applyAlignment="0" applyProtection="0"/>
    <xf numFmtId="0" fontId="96" fillId="18" borderId="0" applyNumberFormat="0" applyBorder="0" applyAlignment="0" applyProtection="0"/>
    <xf numFmtId="0" fontId="141" fillId="49" borderId="0" applyNumberFormat="0" applyBorder="0" applyAlignment="0" applyProtection="0"/>
    <xf numFmtId="0" fontId="31" fillId="18" borderId="0" applyNumberFormat="0" applyBorder="0" applyAlignment="0" applyProtection="0"/>
    <xf numFmtId="0" fontId="96" fillId="18"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41" fillId="50" borderId="0" applyNumberFormat="0" applyBorder="0" applyAlignment="0" applyProtection="0"/>
    <xf numFmtId="0" fontId="31" fillId="13" borderId="0" applyNumberFormat="0" applyBorder="0" applyAlignment="0" applyProtection="0"/>
    <xf numFmtId="0" fontId="96" fillId="13"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96" fillId="14" borderId="0" applyNumberFormat="0" applyBorder="0" applyAlignment="0" applyProtection="0"/>
    <xf numFmtId="0" fontId="141" fillId="51" borderId="0" applyNumberFormat="0" applyBorder="0" applyAlignment="0" applyProtection="0"/>
    <xf numFmtId="0" fontId="31" fillId="14" borderId="0" applyNumberFormat="0" applyBorder="0" applyAlignment="0" applyProtection="0"/>
    <xf numFmtId="0" fontId="96" fillId="14" borderId="0" applyNumberFormat="0" applyBorder="0" applyAlignment="0" applyProtection="0"/>
    <xf numFmtId="0" fontId="31" fillId="19" borderId="0" applyNumberFormat="0" applyBorder="0" applyAlignment="0" applyProtection="0"/>
    <xf numFmtId="0" fontId="96" fillId="19" borderId="0" applyNumberFormat="0" applyBorder="0" applyAlignment="0" applyProtection="0"/>
    <xf numFmtId="0" fontId="96" fillId="19" borderId="0" applyNumberFormat="0" applyBorder="0" applyAlignment="0" applyProtection="0"/>
    <xf numFmtId="0" fontId="141" fillId="52" borderId="0" applyNumberFormat="0" applyBorder="0" applyAlignment="0" applyProtection="0"/>
    <xf numFmtId="0" fontId="31" fillId="19" borderId="0" applyNumberFormat="0" applyBorder="0" applyAlignment="0" applyProtection="0"/>
    <xf numFmtId="0" fontId="96" fillId="19" borderId="0" applyNumberFormat="0" applyBorder="0" applyAlignment="0" applyProtection="0"/>
    <xf numFmtId="0" fontId="32" fillId="3" borderId="0" applyNumberFormat="0" applyBorder="0" applyAlignment="0" applyProtection="0"/>
    <xf numFmtId="0" fontId="97" fillId="3" borderId="0" applyNumberFormat="0" applyBorder="0" applyAlignment="0" applyProtection="0"/>
    <xf numFmtId="0" fontId="97" fillId="3" borderId="0" applyNumberFormat="0" applyBorder="0" applyAlignment="0" applyProtection="0"/>
    <xf numFmtId="0" fontId="142" fillId="53" borderId="0" applyNumberFormat="0" applyBorder="0" applyAlignment="0" applyProtection="0"/>
    <xf numFmtId="0" fontId="32" fillId="3" borderId="0" applyNumberFormat="0" applyBorder="0" applyAlignment="0" applyProtection="0"/>
    <xf numFmtId="0" fontId="97" fillId="3" borderId="0" applyNumberFormat="0" applyBorder="0" applyAlignment="0" applyProtection="0"/>
    <xf numFmtId="172" fontId="33" fillId="0" borderId="0" applyFill="0"/>
    <xf numFmtId="172" fontId="33" fillId="0" borderId="0">
      <alignment horizontal="center"/>
    </xf>
    <xf numFmtId="0" fontId="33" fillId="0" borderId="0" applyFill="0">
      <alignment horizontal="center"/>
    </xf>
    <xf numFmtId="172" fontId="10" fillId="0" borderId="1" applyFill="0"/>
    <xf numFmtId="0" fontId="16" fillId="0" borderId="0" applyFont="0" applyAlignment="0"/>
    <xf numFmtId="0" fontId="16" fillId="0" borderId="0" applyFont="0" applyAlignment="0"/>
    <xf numFmtId="0" fontId="34" fillId="0" borderId="0" applyFill="0">
      <alignment vertical="top"/>
    </xf>
    <xf numFmtId="0" fontId="10" fillId="0" borderId="0" applyFill="0">
      <alignment horizontal="left" vertical="top"/>
    </xf>
    <xf numFmtId="172" fontId="12" fillId="0" borderId="2" applyFill="0"/>
    <xf numFmtId="0" fontId="16" fillId="0" borderId="0" applyNumberFormat="0" applyFont="0" applyAlignment="0"/>
    <xf numFmtId="0" fontId="16" fillId="0" borderId="0" applyNumberFormat="0" applyFont="0" applyAlignment="0"/>
    <xf numFmtId="0" fontId="34" fillId="0" borderId="0" applyFill="0">
      <alignment wrapText="1"/>
    </xf>
    <xf numFmtId="0" fontId="10" fillId="0" borderId="0" applyFill="0">
      <alignment horizontal="left" vertical="top" wrapText="1"/>
    </xf>
    <xf numFmtId="172" fontId="35" fillId="0" borderId="0" applyFill="0"/>
    <xf numFmtId="0" fontId="36" fillId="0" borderId="0" applyNumberFormat="0" applyFont="0" applyAlignment="0">
      <alignment horizontal="center"/>
    </xf>
    <xf numFmtId="0" fontId="37" fillId="0" borderId="0" applyFill="0">
      <alignment vertical="top" wrapText="1"/>
    </xf>
    <xf numFmtId="0" fontId="12" fillId="0" borderId="0" applyFill="0">
      <alignment horizontal="left" vertical="top" wrapText="1"/>
    </xf>
    <xf numFmtId="172" fontId="16" fillId="0" borderId="0" applyFill="0"/>
    <xf numFmtId="172" fontId="16" fillId="0" borderId="0" applyFill="0"/>
    <xf numFmtId="0" fontId="36" fillId="0" borderId="0" applyNumberFormat="0" applyFont="0" applyAlignment="0">
      <alignment horizontal="center"/>
    </xf>
    <xf numFmtId="0" fontId="26" fillId="0" borderId="0" applyFill="0">
      <alignment vertical="center" wrapText="1"/>
    </xf>
    <xf numFmtId="0" fontId="11" fillId="0" borderId="0">
      <alignment horizontal="left" vertical="center" wrapText="1"/>
    </xf>
    <xf numFmtId="172" fontId="24" fillId="0" borderId="0" applyFill="0"/>
    <xf numFmtId="0" fontId="36" fillId="0" borderId="0" applyNumberFormat="0" applyFont="0" applyAlignment="0">
      <alignment horizontal="center"/>
    </xf>
    <xf numFmtId="0" fontId="20" fillId="0" borderId="0" applyFill="0">
      <alignment horizontal="center" vertical="center" wrapText="1"/>
    </xf>
    <xf numFmtId="0" fontId="16" fillId="0" borderId="0" applyFill="0">
      <alignment horizontal="center" vertical="center" wrapText="1"/>
    </xf>
    <xf numFmtId="0" fontId="16" fillId="0" borderId="0" applyFill="0">
      <alignment horizontal="center" vertical="center" wrapText="1"/>
    </xf>
    <xf numFmtId="172" fontId="38" fillId="0" borderId="0" applyFill="0"/>
    <xf numFmtId="0" fontId="36" fillId="0" borderId="0" applyNumberFormat="0" applyFont="0" applyAlignment="0">
      <alignment horizontal="center"/>
    </xf>
    <xf numFmtId="0" fontId="39" fillId="0" borderId="0" applyFill="0">
      <alignment horizontal="center" vertical="center" wrapText="1"/>
    </xf>
    <xf numFmtId="0" fontId="40" fillId="0" borderId="0" applyFill="0">
      <alignment horizontal="center" vertical="center" wrapText="1"/>
    </xf>
    <xf numFmtId="172" fontId="41" fillId="0" borderId="0" applyFill="0"/>
    <xf numFmtId="0" fontId="36" fillId="0" borderId="0" applyNumberFormat="0" applyFont="0" applyAlignment="0">
      <alignment horizontal="center"/>
    </xf>
    <xf numFmtId="0" fontId="42" fillId="0" borderId="0">
      <alignment horizontal="center" wrapText="1"/>
    </xf>
    <xf numFmtId="0" fontId="38" fillId="0" borderId="0" applyFill="0">
      <alignment horizontal="center" wrapText="1"/>
    </xf>
    <xf numFmtId="0" fontId="43" fillId="20" borderId="3" applyNumberFormat="0" applyAlignment="0" applyProtection="0"/>
    <xf numFmtId="0" fontId="98" fillId="20" borderId="3" applyNumberFormat="0" applyAlignment="0" applyProtection="0"/>
    <xf numFmtId="0" fontId="98" fillId="20" borderId="3" applyNumberFormat="0" applyAlignment="0" applyProtection="0"/>
    <xf numFmtId="0" fontId="143" fillId="54" borderId="55" applyNumberFormat="0" applyAlignment="0" applyProtection="0"/>
    <xf numFmtId="0" fontId="43" fillId="20" borderId="3" applyNumberFormat="0" applyAlignment="0" applyProtection="0"/>
    <xf numFmtId="0" fontId="98" fillId="20" borderId="3" applyNumberFormat="0" applyAlignment="0" applyProtection="0"/>
    <xf numFmtId="0" fontId="44" fillId="21" borderId="4" applyNumberFormat="0" applyAlignment="0" applyProtection="0"/>
    <xf numFmtId="0" fontId="99" fillId="21" borderId="4" applyNumberFormat="0" applyAlignment="0" applyProtection="0"/>
    <xf numFmtId="0" fontId="99" fillId="21" borderId="4" applyNumberFormat="0" applyAlignment="0" applyProtection="0"/>
    <xf numFmtId="0" fontId="144" fillId="55" borderId="56" applyNumberFormat="0" applyAlignment="0" applyProtection="0"/>
    <xf numFmtId="0" fontId="44" fillId="21" borderId="4" applyNumberFormat="0" applyAlignment="0" applyProtection="0"/>
    <xf numFmtId="0" fontId="99" fillId="21" borderId="4" applyNumberFormat="0" applyAlignment="0" applyProtection="0"/>
    <xf numFmtId="43" fontId="8"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1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4" fillId="0" borderId="0" applyFont="0" applyFill="0" applyBorder="0" applyAlignment="0" applyProtection="0"/>
    <xf numFmtId="43" fontId="16" fillId="0" borderId="0" applyFont="0" applyFill="0" applyBorder="0" applyAlignment="0" applyProtection="0"/>
    <xf numFmtId="43" fontId="135" fillId="0" borderId="0" applyFont="0" applyFill="0" applyBorder="0" applyAlignment="0" applyProtection="0"/>
    <xf numFmtId="43" fontId="16" fillId="0" borderId="0" applyFont="0" applyFill="0" applyBorder="0" applyAlignment="0" applyProtection="0"/>
    <xf numFmtId="43" fontId="13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40"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0" fontId="28"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16"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2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0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2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3" fontId="101"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3" fontId="16" fillId="0" borderId="0" applyFont="0" applyFill="0" applyBorder="0" applyAlignment="0" applyProtection="0"/>
    <xf numFmtId="3" fontId="16" fillId="0" borderId="0" applyFont="0" applyFill="0" applyBorder="0" applyAlignment="0" applyProtection="0"/>
    <xf numFmtId="3" fontId="101" fillId="0" borderId="0" applyFont="0" applyFill="0" applyBorder="0" applyAlignment="0" applyProtection="0"/>
    <xf numFmtId="44" fontId="16" fillId="0" borderId="0" applyFont="0" applyFill="0" applyBorder="0" applyAlignment="0" applyProtection="0"/>
    <xf numFmtId="44" fontId="1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44" fontId="13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8" fillId="0" borderId="0" applyFont="0" applyFill="0" applyBorder="0" applyAlignment="0" applyProtection="0"/>
    <xf numFmtId="44" fontId="123"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34" fillId="0" borderId="0" applyFont="0" applyFill="0" applyBorder="0" applyAlignment="0" applyProtection="0"/>
    <xf numFmtId="44" fontId="16" fillId="0" borderId="0" applyFont="0" applyFill="0" applyBorder="0" applyAlignment="0" applyProtection="0"/>
    <xf numFmtId="44" fontId="134" fillId="0" borderId="0" applyFont="0" applyFill="0" applyBorder="0" applyAlignment="0" applyProtection="0"/>
    <xf numFmtId="44" fontId="16"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44" fontId="13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0" fillId="0" borderId="0" applyFont="0" applyFill="0" applyBorder="0" applyAlignment="0" applyProtection="0"/>
    <xf numFmtId="44" fontId="116"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40"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16" fillId="0" borderId="0" applyFont="0" applyFill="0" applyBorder="0" applyAlignment="0" applyProtection="0"/>
    <xf numFmtId="44" fontId="95" fillId="0" borderId="0" applyFont="0" applyFill="0" applyBorder="0" applyAlignment="0" applyProtection="0"/>
    <xf numFmtId="44" fontId="9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5" fontId="16" fillId="0" borderId="0" applyFont="0" applyFill="0" applyBorder="0" applyAlignment="0" applyProtection="0"/>
    <xf numFmtId="5" fontId="16" fillId="0" borderId="0" applyFont="0" applyFill="0" applyBorder="0" applyAlignment="0" applyProtection="0"/>
    <xf numFmtId="195" fontId="101"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0" fontId="101"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14" fontId="16" fillId="0" borderId="0" applyFont="0" applyFill="0" applyBorder="0" applyAlignment="0" applyProtection="0"/>
    <xf numFmtId="14" fontId="16" fillId="0" borderId="0" applyFont="0" applyFill="0" applyBorder="0" applyAlignment="0" applyProtection="0"/>
    <xf numFmtId="0" fontId="101" fillId="0" borderId="0" applyFont="0" applyFill="0" applyBorder="0" applyAlignment="0" applyProtection="0"/>
    <xf numFmtId="0" fontId="45"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45" fillId="0" borderId="0" applyNumberFormat="0" applyFill="0" applyBorder="0" applyAlignment="0" applyProtection="0"/>
    <xf numFmtId="0" fontId="45" fillId="0" borderId="0" applyNumberFormat="0" applyFill="0" applyBorder="0" applyAlignment="0" applyProtection="0"/>
    <xf numFmtId="0" fontId="102" fillId="0" borderId="0" applyNumberForma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2" fontId="101" fillId="0" borderId="0" applyFon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2" fontId="16" fillId="0" borderId="0" applyFont="0" applyFill="0" applyBorder="0" applyAlignment="0" applyProtection="0"/>
    <xf numFmtId="2" fontId="16" fillId="0" borderId="0" applyFont="0" applyFill="0" applyBorder="0" applyAlignment="0" applyProtection="0"/>
    <xf numFmtId="2" fontId="101" fillId="0" borderId="0" applyFont="0" applyFill="0" applyBorder="0" applyAlignment="0" applyProtection="0"/>
    <xf numFmtId="0" fontId="46" fillId="4" borderId="0" applyNumberFormat="0" applyBorder="0" applyAlignment="0" applyProtection="0"/>
    <xf numFmtId="0" fontId="103" fillId="4" borderId="0" applyNumberFormat="0" applyBorder="0" applyAlignment="0" applyProtection="0"/>
    <xf numFmtId="0" fontId="103" fillId="4" borderId="0" applyNumberFormat="0" applyBorder="0" applyAlignment="0" applyProtection="0"/>
    <xf numFmtId="0" fontId="146" fillId="56" borderId="0" applyNumberFormat="0" applyBorder="0" applyAlignment="0" applyProtection="0"/>
    <xf numFmtId="0" fontId="46" fillId="4" borderId="0" applyNumberFormat="0" applyBorder="0" applyAlignment="0" applyProtection="0"/>
    <xf numFmtId="0" fontId="103" fillId="4" borderId="0" applyNumberFormat="0" applyBorder="0" applyAlignment="0" applyProtection="0"/>
    <xf numFmtId="0" fontId="27"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47" fillId="0" borderId="57" applyNumberFormat="0" applyFill="0" applyAlignment="0" applyProtection="0"/>
    <xf numFmtId="0" fontId="27"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2"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48" fillId="0" borderId="58" applyNumberFormat="0" applyFill="0" applyAlignment="0" applyProtection="0"/>
    <xf numFmtId="0" fontId="12" fillId="0" borderId="0" applyFon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47" fillId="0" borderId="5" applyNumberFormat="0" applyFill="0" applyAlignment="0" applyProtection="0"/>
    <xf numFmtId="0" fontId="106" fillId="0" borderId="5" applyNumberFormat="0" applyFill="0" applyAlignment="0" applyProtection="0"/>
    <xf numFmtId="0" fontId="106" fillId="0" borderId="5" applyNumberFormat="0" applyFill="0" applyAlignment="0" applyProtection="0"/>
    <xf numFmtId="0" fontId="149" fillId="0" borderId="59" applyNumberFormat="0" applyFill="0" applyAlignment="0" applyProtection="0"/>
    <xf numFmtId="0" fontId="47" fillId="0" borderId="5" applyNumberFormat="0" applyFill="0" applyAlignment="0" applyProtection="0"/>
    <xf numFmtId="0" fontId="106" fillId="0" borderId="5" applyNumberFormat="0" applyFill="0" applyAlignment="0" applyProtection="0"/>
    <xf numFmtId="0" fontId="47"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49" fillId="0" borderId="0" applyNumberFormat="0" applyFill="0" applyBorder="0" applyAlignment="0" applyProtection="0"/>
    <xf numFmtId="0" fontId="47" fillId="0" borderId="0" applyNumberFormat="0" applyFill="0" applyBorder="0" applyAlignment="0" applyProtection="0"/>
    <xf numFmtId="0" fontId="106" fillId="0" borderId="0" applyNumberFormat="0" applyFill="0" applyBorder="0" applyAlignment="0" applyProtection="0"/>
    <xf numFmtId="0" fontId="48" fillId="0" borderId="6"/>
    <xf numFmtId="0" fontId="49" fillId="0" borderId="0"/>
    <xf numFmtId="0" fontId="50" fillId="7" borderId="3" applyNumberFormat="0" applyAlignment="0" applyProtection="0"/>
    <xf numFmtId="0" fontId="107" fillId="7" borderId="3" applyNumberFormat="0" applyAlignment="0" applyProtection="0"/>
    <xf numFmtId="0" fontId="107" fillId="7" borderId="3" applyNumberFormat="0" applyAlignment="0" applyProtection="0"/>
    <xf numFmtId="0" fontId="150" fillId="57" borderId="55" applyNumberFormat="0" applyAlignment="0" applyProtection="0"/>
    <xf numFmtId="0" fontId="50" fillId="7" borderId="3" applyNumberFormat="0" applyAlignment="0" applyProtection="0"/>
    <xf numFmtId="0" fontId="107" fillId="7" borderId="3" applyNumberFormat="0" applyAlignment="0" applyProtection="0"/>
    <xf numFmtId="0" fontId="51" fillId="0" borderId="7" applyNumberFormat="0" applyFill="0" applyAlignment="0" applyProtection="0"/>
    <xf numFmtId="0" fontId="108" fillId="0" borderId="7" applyNumberFormat="0" applyFill="0" applyAlignment="0" applyProtection="0"/>
    <xf numFmtId="0" fontId="108" fillId="0" borderId="7" applyNumberFormat="0" applyFill="0" applyAlignment="0" applyProtection="0"/>
    <xf numFmtId="0" fontId="151" fillId="0" borderId="60" applyNumberFormat="0" applyFill="0" applyAlignment="0" applyProtection="0"/>
    <xf numFmtId="0" fontId="51" fillId="0" borderId="7" applyNumberFormat="0" applyFill="0" applyAlignment="0" applyProtection="0"/>
    <xf numFmtId="0" fontId="108" fillId="0" borderId="7" applyNumberFormat="0" applyFill="0" applyAlignment="0" applyProtection="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196" fontId="16" fillId="0" borderId="0"/>
    <xf numFmtId="0" fontId="52" fillId="22" borderId="0" applyNumberFormat="0" applyBorder="0" applyAlignment="0" applyProtection="0"/>
    <xf numFmtId="0" fontId="109" fillId="22" borderId="0" applyNumberFormat="0" applyBorder="0" applyAlignment="0" applyProtection="0"/>
    <xf numFmtId="0" fontId="109" fillId="22" borderId="0" applyNumberFormat="0" applyBorder="0" applyAlignment="0" applyProtection="0"/>
    <xf numFmtId="0" fontId="152" fillId="58" borderId="0" applyNumberFormat="0" applyBorder="0" applyAlignment="0" applyProtection="0"/>
    <xf numFmtId="0" fontId="52" fillId="22" borderId="0" applyNumberFormat="0" applyBorder="0" applyAlignment="0" applyProtection="0"/>
    <xf numFmtId="0" fontId="109" fillId="22" borderId="0" applyNumberFormat="0" applyBorder="0" applyAlignment="0" applyProtection="0"/>
    <xf numFmtId="0" fontId="140" fillId="0" borderId="0"/>
    <xf numFmtId="0" fontId="28" fillId="0" borderId="0"/>
    <xf numFmtId="3" fontId="16" fillId="0" borderId="0"/>
    <xf numFmtId="3" fontId="16" fillId="0" borderId="0"/>
    <xf numFmtId="0" fontId="28" fillId="0" borderId="0"/>
    <xf numFmtId="0" fontId="28" fillId="0" borderId="0"/>
    <xf numFmtId="0" fontId="16" fillId="0" borderId="0"/>
    <xf numFmtId="0" fontId="16" fillId="0" borderId="0"/>
    <xf numFmtId="3" fontId="16" fillId="0" borderId="0"/>
    <xf numFmtId="0" fontId="16" fillId="0" borderId="0"/>
    <xf numFmtId="0" fontId="28" fillId="0" borderId="0"/>
    <xf numFmtId="0" fontId="28" fillId="0" borderId="0"/>
    <xf numFmtId="0" fontId="140" fillId="0" borderId="0"/>
    <xf numFmtId="3" fontId="16" fillId="0" borderId="0"/>
    <xf numFmtId="3" fontId="16" fillId="0" borderId="0"/>
    <xf numFmtId="3" fontId="16" fillId="0" borderId="0"/>
    <xf numFmtId="0"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53" fillId="0" borderId="0"/>
    <xf numFmtId="0" fontId="112" fillId="0" borderId="0"/>
    <xf numFmtId="0" fontId="16" fillId="0" borderId="0"/>
    <xf numFmtId="0" fontId="16" fillId="0" borderId="0"/>
    <xf numFmtId="0" fontId="153"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6" fillId="0" borderId="0"/>
    <xf numFmtId="0" fontId="16" fillId="0" borderId="0"/>
    <xf numFmtId="0" fontId="112" fillId="0" borderId="0"/>
    <xf numFmtId="0" fontId="16" fillId="0" borderId="0"/>
    <xf numFmtId="3" fontId="16" fillId="0" borderId="0"/>
    <xf numFmtId="3" fontId="16" fillId="0" borderId="0"/>
    <xf numFmtId="0" fontId="8" fillId="0" borderId="0"/>
    <xf numFmtId="0" fontId="123" fillId="0" borderId="0"/>
    <xf numFmtId="0" fontId="16" fillId="0" borderId="0"/>
    <xf numFmtId="0" fontId="16" fillId="0" borderId="0"/>
    <xf numFmtId="0" fontId="134" fillId="0" borderId="0"/>
    <xf numFmtId="0" fontId="16" fillId="0" borderId="0"/>
    <xf numFmtId="0" fontId="134" fillId="0" borderId="0"/>
    <xf numFmtId="0" fontId="16" fillId="0" borderId="0"/>
    <xf numFmtId="0" fontId="135" fillId="0" borderId="0"/>
    <xf numFmtId="0" fontId="16" fillId="0" borderId="0"/>
    <xf numFmtId="0" fontId="136" fillId="0" borderId="0"/>
    <xf numFmtId="0" fontId="16" fillId="0" borderId="0"/>
    <xf numFmtId="0" fontId="16" fillId="0" borderId="0"/>
    <xf numFmtId="0" fontId="10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2" fillId="0" borderId="0"/>
    <xf numFmtId="0" fontId="16" fillId="0" borderId="0"/>
    <xf numFmtId="0" fontId="16" fillId="0" borderId="0"/>
    <xf numFmtId="0" fontId="16" fillId="0" borderId="0"/>
    <xf numFmtId="0" fontId="16" fillId="0" borderId="0"/>
    <xf numFmtId="0" fontId="16" fillId="0" borderId="0"/>
    <xf numFmtId="3" fontId="16" fillId="0" borderId="0"/>
    <xf numFmtId="0" fontId="16" fillId="0" borderId="0"/>
    <xf numFmtId="0" fontId="28" fillId="0" borderId="0"/>
    <xf numFmtId="0" fontId="16" fillId="0" borderId="0"/>
    <xf numFmtId="0" fontId="16" fillId="0" borderId="0"/>
    <xf numFmtId="0" fontId="28" fillId="0" borderId="0"/>
    <xf numFmtId="0" fontId="28" fillId="0" borderId="0"/>
    <xf numFmtId="3" fontId="16" fillId="0" borderId="0"/>
    <xf numFmtId="3" fontId="16" fillId="0" borderId="0"/>
    <xf numFmtId="0" fontId="16" fillId="0" borderId="0"/>
    <xf numFmtId="0" fontId="140" fillId="0" borderId="0"/>
    <xf numFmtId="0" fontId="28" fillId="0" borderId="0"/>
    <xf numFmtId="0" fontId="16" fillId="0" borderId="0"/>
    <xf numFmtId="0" fontId="16" fillId="0" borderId="0"/>
    <xf numFmtId="0" fontId="16" fillId="0" borderId="0"/>
    <xf numFmtId="0" fontId="140" fillId="0" borderId="0"/>
    <xf numFmtId="0" fontId="16" fillId="0" borderId="0"/>
    <xf numFmtId="0" fontId="16" fillId="0" borderId="0"/>
    <xf numFmtId="0" fontId="140" fillId="0" borderId="0"/>
    <xf numFmtId="0" fontId="28" fillId="0" borderId="0"/>
    <xf numFmtId="0" fontId="16" fillId="0" borderId="0"/>
    <xf numFmtId="0" fontId="140" fillId="0" borderId="0"/>
    <xf numFmtId="0" fontId="28" fillId="0" borderId="0"/>
    <xf numFmtId="0" fontId="16" fillId="0" borderId="0"/>
    <xf numFmtId="0" fontId="8" fillId="0" borderId="0"/>
    <xf numFmtId="0" fontId="9" fillId="0" borderId="0" applyProtection="0"/>
    <xf numFmtId="0" fontId="8" fillId="0" borderId="0"/>
    <xf numFmtId="0" fontId="16" fillId="0" borderId="0"/>
    <xf numFmtId="0" fontId="8" fillId="0" borderId="0"/>
    <xf numFmtId="172" fontId="9" fillId="0" borderId="0" applyProtection="0"/>
    <xf numFmtId="0" fontId="63" fillId="0" borderId="0"/>
    <xf numFmtId="0" fontId="8" fillId="0" borderId="0"/>
    <xf numFmtId="0" fontId="9" fillId="23" borderId="8" applyNumberFormat="0" applyFont="0" applyAlignment="0" applyProtection="0"/>
    <xf numFmtId="0" fontId="16" fillId="23" borderId="8" applyNumberFormat="0" applyFont="0" applyAlignment="0" applyProtection="0"/>
    <xf numFmtId="0" fontId="95" fillId="59" borderId="61" applyNumberFormat="0" applyFont="0" applyAlignment="0" applyProtection="0"/>
    <xf numFmtId="0" fontId="95" fillId="59" borderId="61" applyNumberFormat="0" applyFont="0" applyAlignment="0" applyProtection="0"/>
    <xf numFmtId="0" fontId="16" fillId="23" borderId="8" applyNumberFormat="0" applyFont="0" applyAlignment="0" applyProtection="0"/>
    <xf numFmtId="0" fontId="95" fillId="59" borderId="61" applyNumberFormat="0" applyFont="0" applyAlignment="0" applyProtection="0"/>
    <xf numFmtId="0" fontId="95" fillId="59" borderId="61" applyNumberFormat="0" applyFont="0" applyAlignment="0" applyProtection="0"/>
    <xf numFmtId="0" fontId="9" fillId="23" borderId="8" applyNumberFormat="0" applyFont="0" applyAlignment="0" applyProtection="0"/>
    <xf numFmtId="0" fontId="16" fillId="23" borderId="8" applyNumberFormat="0" applyFont="0" applyAlignment="0" applyProtection="0"/>
    <xf numFmtId="0" fontId="53" fillId="20" borderId="9" applyNumberFormat="0" applyAlignment="0" applyProtection="0"/>
    <xf numFmtId="0" fontId="110" fillId="20" borderId="9" applyNumberFormat="0" applyAlignment="0" applyProtection="0"/>
    <xf numFmtId="0" fontId="110" fillId="20" borderId="9" applyNumberFormat="0" applyAlignment="0" applyProtection="0"/>
    <xf numFmtId="0" fontId="154" fillId="54" borderId="62" applyNumberFormat="0" applyAlignment="0" applyProtection="0"/>
    <xf numFmtId="0" fontId="53" fillId="20" borderId="9" applyNumberFormat="0" applyAlignment="0" applyProtection="0"/>
    <xf numFmtId="0" fontId="110" fillId="20" borderId="9" applyNumberFormat="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5" fillId="0" borderId="0" applyFont="0" applyFill="0" applyBorder="0" applyAlignment="0" applyProtection="0"/>
    <xf numFmtId="9" fontId="16" fillId="0" borderId="0" applyFont="0" applyFill="0" applyBorder="0" applyAlignment="0" applyProtection="0"/>
    <xf numFmtId="9" fontId="13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12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4" fillId="0" borderId="0" applyFont="0" applyFill="0" applyBorder="0" applyAlignment="0" applyProtection="0"/>
    <xf numFmtId="9" fontId="16" fillId="0" borderId="0" applyFont="0" applyFill="0" applyBorder="0" applyAlignment="0" applyProtection="0"/>
    <xf numFmtId="9" fontId="135" fillId="0" borderId="0" applyFont="0" applyFill="0" applyBorder="0" applyAlignment="0" applyProtection="0"/>
    <xf numFmtId="9" fontId="16" fillId="0" borderId="0" applyFont="0" applyFill="0" applyBorder="0" applyAlignment="0" applyProtection="0"/>
    <xf numFmtId="9" fontId="13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16"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40"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0" fontId="28" fillId="0" borderId="0" applyNumberFormat="0" applyFont="0" applyFill="0" applyBorder="0" applyAlignment="0" applyProtection="0">
      <alignment horizontal="left"/>
    </xf>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15"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4" fontId="28" fillId="0" borderId="0" applyFont="0" applyFill="0" applyBorder="0" applyAlignment="0" applyProtection="0"/>
    <xf numFmtId="3" fontId="16" fillId="0" borderId="0">
      <alignment horizontal="left" vertical="top"/>
    </xf>
    <xf numFmtId="3" fontId="16" fillId="0" borderId="0">
      <alignment horizontal="left" vertical="top"/>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0" fontId="29" fillId="0" borderId="6">
      <alignment horizontal="center"/>
    </xf>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3" fontId="28" fillId="0" borderId="0" applyFont="0" applyFill="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0" fontId="28" fillId="24" borderId="0" applyNumberFormat="0" applyFont="0" applyBorder="0" applyAlignment="0" applyProtection="0"/>
    <xf numFmtId="3" fontId="16" fillId="0" borderId="0">
      <alignment horizontal="right" vertical="top"/>
    </xf>
    <xf numFmtId="3" fontId="16" fillId="0" borderId="0">
      <alignment horizontal="right" vertical="top"/>
    </xf>
    <xf numFmtId="41" fontId="11" fillId="25" borderId="10" applyFill="0"/>
    <xf numFmtId="0" fontId="54" fillId="0" borderId="0">
      <alignment horizontal="left" indent="7"/>
    </xf>
    <xf numFmtId="41" fontId="11" fillId="0" borderId="10" applyFill="0">
      <alignment horizontal="left" indent="2"/>
    </xf>
    <xf numFmtId="172" fontId="25" fillId="0" borderId="11" applyFill="0">
      <alignment horizontal="right"/>
    </xf>
    <xf numFmtId="0" fontId="13" fillId="0" borderId="12" applyNumberFormat="0" applyFont="0" applyBorder="0">
      <alignment horizontal="right"/>
    </xf>
    <xf numFmtId="0" fontId="55" fillId="0" borderId="0" applyFill="0"/>
    <xf numFmtId="0" fontId="12" fillId="0" borderId="0" applyFill="0"/>
    <xf numFmtId="4" fontId="25" fillId="0" borderId="11" applyFill="0"/>
    <xf numFmtId="0" fontId="16" fillId="0" borderId="0" applyNumberFormat="0" applyFont="0" applyBorder="0" applyAlignment="0"/>
    <xf numFmtId="0" fontId="16" fillId="0" borderId="0" applyNumberFormat="0" applyFont="0" applyBorder="0" applyAlignment="0"/>
    <xf numFmtId="0" fontId="37" fillId="0" borderId="0" applyFill="0">
      <alignment horizontal="left" indent="1"/>
    </xf>
    <xf numFmtId="0" fontId="56" fillId="0" borderId="0" applyFill="0">
      <alignment horizontal="left" indent="1"/>
    </xf>
    <xf numFmtId="4" fontId="24" fillId="0" borderId="0" applyFill="0"/>
    <xf numFmtId="0" fontId="16" fillId="0" borderId="0" applyNumberFormat="0" applyFont="0" applyFill="0" applyBorder="0" applyAlignment="0"/>
    <xf numFmtId="0" fontId="16" fillId="0" borderId="0" applyNumberFormat="0" applyFont="0" applyFill="0" applyBorder="0" applyAlignment="0"/>
    <xf numFmtId="0" fontId="37" fillId="0" borderId="0" applyFill="0">
      <alignment horizontal="left" indent="2"/>
    </xf>
    <xf numFmtId="0" fontId="12" fillId="0" borderId="0" applyFill="0">
      <alignment horizontal="left" indent="2"/>
    </xf>
    <xf numFmtId="4" fontId="24" fillId="0" borderId="0" applyFill="0"/>
    <xf numFmtId="0" fontId="16" fillId="0" borderId="0" applyNumberFormat="0" applyFont="0" applyBorder="0" applyAlignment="0"/>
    <xf numFmtId="0" fontId="16" fillId="0" borderId="0" applyNumberFormat="0" applyFont="0" applyBorder="0" applyAlignment="0"/>
    <xf numFmtId="0" fontId="57" fillId="0" borderId="0">
      <alignment horizontal="left" indent="3"/>
    </xf>
    <xf numFmtId="0" fontId="58" fillId="0" borderId="0" applyFill="0">
      <alignment horizontal="left" indent="3"/>
    </xf>
    <xf numFmtId="4" fontId="24" fillId="0" borderId="0" applyFill="0"/>
    <xf numFmtId="0" fontId="16" fillId="0" borderId="0" applyNumberFormat="0" applyFont="0" applyBorder="0" applyAlignment="0"/>
    <xf numFmtId="0" fontId="16" fillId="0" borderId="0" applyNumberFormat="0" applyFont="0" applyBorder="0" applyAlignment="0"/>
    <xf numFmtId="0" fontId="20" fillId="0" borderId="0">
      <alignment horizontal="left" indent="4"/>
    </xf>
    <xf numFmtId="0" fontId="16" fillId="0" borderId="0" applyFill="0">
      <alignment horizontal="left" indent="4"/>
    </xf>
    <xf numFmtId="0" fontId="16" fillId="0" borderId="0" applyFill="0">
      <alignment horizontal="left" indent="4"/>
    </xf>
    <xf numFmtId="4" fontId="38" fillId="0" borderId="0" applyFill="0"/>
    <xf numFmtId="0" fontId="16" fillId="0" borderId="0" applyNumberFormat="0" applyFont="0" applyBorder="0" applyAlignment="0"/>
    <xf numFmtId="0" fontId="16" fillId="0" borderId="0" applyNumberFormat="0" applyFont="0" applyBorder="0" applyAlignment="0"/>
    <xf numFmtId="0" fontId="39" fillId="0" borderId="0">
      <alignment horizontal="left" indent="5"/>
    </xf>
    <xf numFmtId="0" fontId="40" fillId="0" borderId="0" applyFill="0">
      <alignment horizontal="left" indent="5"/>
    </xf>
    <xf numFmtId="4" fontId="41" fillId="0" borderId="0" applyFill="0"/>
    <xf numFmtId="0" fontId="16" fillId="0" borderId="0" applyNumberFormat="0" applyFont="0" applyFill="0" applyBorder="0" applyAlignment="0"/>
    <xf numFmtId="0" fontId="16" fillId="0" borderId="0" applyNumberFormat="0" applyFont="0" applyFill="0" applyBorder="0" applyAlignment="0"/>
    <xf numFmtId="0" fontId="42" fillId="0" borderId="0" applyFill="0">
      <alignment horizontal="left" indent="6"/>
    </xf>
    <xf numFmtId="0" fontId="38" fillId="0" borderId="0" applyFill="0">
      <alignment horizontal="left" indent="6"/>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55" fillId="0" borderId="0" applyNumberFormat="0" applyFill="0" applyBorder="0" applyAlignment="0" applyProtection="0"/>
    <xf numFmtId="0" fontId="59" fillId="0" borderId="0" applyNumberFormat="0" applyFill="0" applyBorder="0" applyAlignment="0" applyProtection="0"/>
    <xf numFmtId="0" fontId="16" fillId="0" borderId="0" applyFont="0" applyFill="0" applyBorder="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156" fillId="0" borderId="63" applyNumberFormat="0" applyFill="0" applyAlignment="0" applyProtection="0"/>
    <xf numFmtId="0" fontId="16" fillId="0" borderId="0" applyFont="0" applyFill="0" applyBorder="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101" fillId="0" borderId="1" applyNumberFormat="0" applyFont="0" applyFill="0" applyAlignment="0" applyProtection="0"/>
    <xf numFmtId="0" fontId="60"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57" fillId="0" borderId="0" applyNumberFormat="0" applyFill="0" applyBorder="0" applyAlignment="0" applyProtection="0"/>
    <xf numFmtId="0" fontId="60" fillId="0" borderId="0" applyNumberFormat="0" applyFill="0" applyBorder="0" applyAlignment="0" applyProtection="0"/>
    <xf numFmtId="0" fontId="111" fillId="0" borderId="0" applyNumberFormat="0" applyFill="0" applyBorder="0" applyAlignment="0" applyProtection="0"/>
    <xf numFmtId="0" fontId="16" fillId="0" borderId="0"/>
    <xf numFmtId="172" fontId="9" fillId="0" borderId="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3"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3" fontId="16" fillId="0" borderId="0"/>
    <xf numFmtId="3" fontId="16" fillId="0" borderId="0"/>
    <xf numFmtId="0" fontId="7" fillId="0" borderId="0"/>
    <xf numFmtId="43" fontId="16"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59" borderId="61" applyNumberFormat="0" applyFont="0" applyAlignment="0" applyProtection="0"/>
    <xf numFmtId="0" fontId="6" fillId="29" borderId="0" applyNumberFormat="0" applyBorder="0" applyAlignment="0" applyProtection="0"/>
    <xf numFmtId="0" fontId="6" fillId="35" borderId="0" applyNumberFormat="0" applyBorder="0" applyAlignment="0" applyProtection="0"/>
    <xf numFmtId="0" fontId="6" fillId="30" borderId="0" applyNumberFormat="0" applyBorder="0" applyAlignment="0" applyProtection="0"/>
    <xf numFmtId="0" fontId="6" fillId="36" borderId="0" applyNumberFormat="0" applyBorder="0" applyAlignment="0" applyProtection="0"/>
    <xf numFmtId="0" fontId="6" fillId="31" borderId="0" applyNumberFormat="0" applyBorder="0" applyAlignment="0" applyProtection="0"/>
    <xf numFmtId="0" fontId="6" fillId="37" borderId="0" applyNumberFormat="0" applyBorder="0" applyAlignment="0" applyProtection="0"/>
    <xf numFmtId="0" fontId="6" fillId="32" borderId="0" applyNumberFormat="0" applyBorder="0" applyAlignment="0" applyProtection="0"/>
    <xf numFmtId="0" fontId="6" fillId="38" borderId="0" applyNumberFormat="0" applyBorder="0" applyAlignment="0" applyProtection="0"/>
    <xf numFmtId="0" fontId="6" fillId="33" borderId="0" applyNumberFormat="0" applyBorder="0" applyAlignment="0" applyProtection="0"/>
    <xf numFmtId="0" fontId="6" fillId="39" borderId="0" applyNumberFormat="0" applyBorder="0" applyAlignment="0" applyProtection="0"/>
    <xf numFmtId="0" fontId="6" fillId="34" borderId="0" applyNumberFormat="0" applyBorder="0" applyAlignment="0" applyProtection="0"/>
    <xf numFmtId="0" fontId="6" fillId="40" borderId="0" applyNumberFormat="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0" fontId="6" fillId="0" borderId="0"/>
    <xf numFmtId="37" fontId="166" fillId="0" borderId="0"/>
    <xf numFmtId="8" fontId="28" fillId="0" borderId="0" applyFont="0" applyFill="0" applyBorder="0" applyAlignment="0" applyProtection="0"/>
    <xf numFmtId="9" fontId="28" fillId="0" borderId="0" applyFont="0" applyFill="0" applyBorder="0" applyAlignment="0" applyProtection="0"/>
    <xf numFmtId="0" fontId="8" fillId="0" borderId="0"/>
    <xf numFmtId="0" fontId="6" fillId="0" borderId="0"/>
    <xf numFmtId="0" fontId="8"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95" fillId="2" borderId="0" applyNumberFormat="0" applyBorder="0" applyAlignment="0" applyProtection="0"/>
    <xf numFmtId="0" fontId="167" fillId="2" borderId="0" applyNumberFormat="0" applyBorder="0" applyAlignment="0" applyProtection="0"/>
    <xf numFmtId="0" fontId="95" fillId="3" borderId="0" applyNumberFormat="0" applyBorder="0" applyAlignment="0" applyProtection="0"/>
    <xf numFmtId="0" fontId="95" fillId="3" borderId="0" applyNumberFormat="0" applyBorder="0" applyAlignment="0" applyProtection="0"/>
    <xf numFmtId="0" fontId="167" fillId="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23"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95" fillId="4" borderId="0" applyNumberFormat="0" applyBorder="0" applyAlignment="0" applyProtection="0"/>
    <xf numFmtId="0" fontId="167" fillId="4"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20"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67" fillId="5" borderId="0" applyNumberFormat="0" applyBorder="0" applyAlignment="0" applyProtection="0"/>
    <xf numFmtId="0" fontId="95" fillId="6" borderId="0" applyNumberFormat="0" applyBorder="0" applyAlignment="0" applyProtection="0"/>
    <xf numFmtId="0" fontId="95" fillId="6" borderId="0" applyNumberFormat="0" applyBorder="0" applyAlignment="0" applyProtection="0"/>
    <xf numFmtId="0" fontId="167" fillId="6"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167" fillId="7"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67" fillId="8"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67" fillId="9"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22"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67" fillId="10"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62"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167" fillId="5" borderId="0" applyNumberFormat="0" applyBorder="0" applyAlignment="0" applyProtection="0"/>
    <xf numFmtId="0" fontId="95" fillId="8" borderId="0" applyNumberFormat="0" applyBorder="0" applyAlignment="0" applyProtection="0"/>
    <xf numFmtId="0" fontId="95" fillId="8" borderId="0" applyNumberFormat="0" applyBorder="0" applyAlignment="0" applyProtection="0"/>
    <xf numFmtId="0" fontId="167" fillId="8"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7"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167" fillId="11" borderId="0" applyNumberFormat="0" applyBorder="0" applyAlignment="0" applyProtection="0"/>
    <xf numFmtId="0" fontId="96" fillId="14" borderId="0" applyNumberFormat="0" applyBorder="0" applyAlignment="0" applyProtection="0"/>
    <xf numFmtId="0" fontId="96" fillId="12" borderId="0" applyNumberFormat="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96" fillId="22" borderId="0" applyNumberFormat="0" applyBorder="0" applyAlignment="0" applyProtection="0"/>
    <xf numFmtId="0" fontId="96" fillId="10" borderId="0" applyNumberFormat="0" applyBorder="0" applyAlignment="0" applyProtection="0"/>
    <xf numFmtId="0" fontId="168" fillId="10" borderId="0" applyNumberFormat="0" applyBorder="0" applyAlignment="0" applyProtection="0"/>
    <xf numFmtId="0" fontId="96" fillId="62" borderId="0" applyNumberFormat="0" applyBorder="0" applyAlignment="0" applyProtection="0"/>
    <xf numFmtId="0" fontId="96"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96" fillId="9" borderId="0" applyNumberFormat="0" applyBorder="0" applyAlignment="0" applyProtection="0"/>
    <xf numFmtId="0" fontId="96" fillId="15" borderId="0" applyNumberFormat="0" applyBorder="0" applyAlignment="0" applyProtection="0"/>
    <xf numFmtId="0" fontId="168" fillId="15" borderId="0" applyNumberFormat="0" applyBorder="0" applyAlignment="0" applyProtection="0"/>
    <xf numFmtId="0" fontId="96" fillId="14" borderId="0" applyNumberFormat="0" applyBorder="0" applyAlignment="0" applyProtection="0"/>
    <xf numFmtId="0" fontId="96" fillId="16" borderId="0" applyNumberFormat="0" applyBorder="0" applyAlignment="0" applyProtection="0"/>
    <xf numFmtId="0" fontId="168" fillId="16" borderId="0" applyNumberFormat="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96" fillId="63" borderId="0" applyNumberFormat="0" applyBorder="0" applyAlignment="0" applyProtection="0"/>
    <xf numFmtId="0" fontId="96"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9" borderId="0" applyNumberFormat="0" applyBorder="0" applyAlignment="0" applyProtection="0"/>
    <xf numFmtId="0" fontId="97" fillId="64" borderId="0" applyNumberFormat="0" applyBorder="0" applyAlignment="0" applyProtection="0"/>
    <xf numFmtId="0" fontId="97" fillId="3" borderId="0" applyNumberFormat="0" applyBorder="0" applyAlignment="0" applyProtection="0"/>
    <xf numFmtId="0" fontId="169" fillId="3" borderId="0" applyNumberFormat="0" applyBorder="0" applyAlignment="0" applyProtection="0"/>
    <xf numFmtId="202" fontId="166" fillId="0" borderId="0" applyNumberFormat="0" applyFont="0" applyAlignment="0" applyProtection="0"/>
    <xf numFmtId="0" fontId="170" fillId="20" borderId="3" applyNumberFormat="0" applyAlignment="0" applyProtection="0"/>
    <xf numFmtId="0" fontId="99" fillId="62" borderId="4" applyNumberFormat="0" applyAlignment="0" applyProtection="0"/>
    <xf numFmtId="0" fontId="99" fillId="21" borderId="4" applyNumberFormat="0" applyAlignment="0" applyProtection="0"/>
    <xf numFmtId="0" fontId="171" fillId="21" borderId="4" applyNumberFormat="0" applyAlignment="0" applyProtection="0"/>
    <xf numFmtId="41"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3" fontId="8"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8"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5"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0" fontId="172" fillId="0" borderId="0" applyNumberFormat="0" applyFill="0" applyBorder="0" applyAlignment="0" applyProtection="0"/>
    <xf numFmtId="2" fontId="8" fillId="0" borderId="0" applyFont="0" applyFill="0" applyBorder="0" applyAlignment="0" applyProtection="0"/>
    <xf numFmtId="0" fontId="173" fillId="4" borderId="0" applyNumberFormat="0" applyBorder="0" applyAlignment="0" applyProtection="0"/>
    <xf numFmtId="0" fontId="174" fillId="0" borderId="71" applyNumberFormat="0" applyFill="0" applyAlignment="0" applyProtection="0"/>
    <xf numFmtId="0" fontId="175" fillId="0" borderId="72" applyNumberFormat="0" applyFill="0" applyAlignment="0" applyProtection="0"/>
    <xf numFmtId="0" fontId="27" fillId="0" borderId="0" applyFont="0" applyFill="0" applyBorder="0" applyAlignment="0" applyProtection="0"/>
    <xf numFmtId="0" fontId="176" fillId="0" borderId="73" applyNumberFormat="0" applyFill="0" applyAlignment="0" applyProtection="0"/>
    <xf numFmtId="0" fontId="177" fillId="0" borderId="74" applyNumberFormat="0" applyFill="0" applyAlignment="0" applyProtection="0"/>
    <xf numFmtId="0" fontId="12" fillId="0" borderId="0" applyFont="0" applyFill="0" applyBorder="0" applyAlignment="0" applyProtection="0"/>
    <xf numFmtId="0" fontId="178" fillId="0" borderId="75" applyNumberFormat="0" applyFill="0" applyAlignment="0" applyProtection="0"/>
    <xf numFmtId="0" fontId="106" fillId="0" borderId="5" applyNumberFormat="0" applyFill="0" applyAlignment="0" applyProtection="0"/>
    <xf numFmtId="0" fontId="179" fillId="0" borderId="5" applyNumberFormat="0" applyFill="0" applyAlignment="0" applyProtection="0"/>
    <xf numFmtId="0" fontId="178" fillId="0" borderId="0" applyNumberFormat="0" applyFill="0" applyBorder="0" applyAlignment="0" applyProtection="0"/>
    <xf numFmtId="0" fontId="106" fillId="0" borderId="0" applyNumberFormat="0" applyFill="0" applyBorder="0" applyAlignment="0" applyProtection="0"/>
    <xf numFmtId="0" fontId="179" fillId="0" borderId="0" applyNumberFormat="0" applyFill="0" applyBorder="0" applyAlignment="0" applyProtection="0"/>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7" borderId="3" applyNumberFormat="0" applyAlignment="0" applyProtection="0"/>
    <xf numFmtId="0" fontId="184" fillId="0" borderId="7" applyNumberFormat="0" applyFill="0" applyAlignment="0" applyProtection="0"/>
    <xf numFmtId="0" fontId="185" fillId="22" borderId="0" applyNumberFormat="0" applyBorder="0" applyAlignment="0" applyProtection="0"/>
    <xf numFmtId="37" fontId="166" fillId="0" borderId="0"/>
    <xf numFmtId="37" fontId="166" fillId="0" borderId="0"/>
    <xf numFmtId="37" fontId="166" fillId="0" borderId="0"/>
    <xf numFmtId="37" fontId="166" fillId="0" borderId="0"/>
    <xf numFmtId="37" fontId="166" fillId="0" borderId="0"/>
    <xf numFmtId="37" fontId="166" fillId="0" borderId="0"/>
    <xf numFmtId="0" fontId="28" fillId="0" borderId="0"/>
    <xf numFmtId="0" fontId="6" fillId="0" borderId="0"/>
    <xf numFmtId="37" fontId="166" fillId="0" borderId="0"/>
    <xf numFmtId="0" fontId="8" fillId="0" borderId="0"/>
    <xf numFmtId="37" fontId="166" fillId="0" borderId="0"/>
    <xf numFmtId="0" fontId="6"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202" fontId="166" fillId="0" borderId="0"/>
    <xf numFmtId="37" fontId="166" fillId="0" borderId="0"/>
    <xf numFmtId="0" fontId="6" fillId="0" borderId="0"/>
    <xf numFmtId="0" fontId="8" fillId="0" borderId="0"/>
    <xf numFmtId="0" fontId="8" fillId="23" borderId="3" applyNumberFormat="0" applyFont="0" applyAlignment="0" applyProtection="0"/>
    <xf numFmtId="0" fontId="8" fillId="23" borderId="3" applyNumberFormat="0" applyFont="0" applyAlignment="0" applyProtection="0"/>
    <xf numFmtId="0" fontId="8" fillId="23" borderId="8" applyNumberFormat="0" applyFont="0" applyAlignment="0" applyProtection="0"/>
    <xf numFmtId="0" fontId="8" fillId="23" borderId="8" applyNumberFormat="0" applyFont="0" applyAlignment="0" applyProtection="0"/>
    <xf numFmtId="0" fontId="6" fillId="59" borderId="61" applyNumberFormat="0" applyFont="0" applyAlignment="0" applyProtection="0"/>
    <xf numFmtId="0" fontId="167" fillId="23" borderId="8" applyNumberFormat="0" applyFont="0" applyAlignment="0" applyProtection="0"/>
    <xf numFmtId="202" fontId="63" fillId="0" borderId="0" applyProtection="0"/>
    <xf numFmtId="0" fontId="186" fillId="20" borderId="9"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43" fontId="6" fillId="0" borderId="0" applyFont="0" applyFill="0" applyBorder="0" applyAlignment="0" applyProtection="0"/>
    <xf numFmtId="15" fontId="28" fillId="0" borderId="0" applyFont="0" applyFill="0" applyBorder="0" applyAlignment="0" applyProtection="0"/>
    <xf numFmtId="4" fontId="28" fillId="0" borderId="0" applyFont="0" applyFill="0" applyBorder="0" applyAlignment="0" applyProtection="0"/>
    <xf numFmtId="0" fontId="29" fillId="0" borderId="6">
      <alignment horizontal="center"/>
    </xf>
    <xf numFmtId="3" fontId="28" fillId="0" borderId="0" applyFont="0" applyFill="0" applyBorder="0" applyAlignment="0" applyProtection="0"/>
    <xf numFmtId="0" fontId="28" fillId="24" borderId="0" applyNumberFormat="0" applyFont="0" applyBorder="0" applyAlignment="0" applyProtection="0"/>
    <xf numFmtId="0" fontId="187" fillId="0" borderId="0" applyNumberFormat="0" applyFill="0" applyBorder="0" applyAlignment="0" applyProtection="0"/>
    <xf numFmtId="0" fontId="59" fillId="0" borderId="0" applyNumberFormat="0" applyFill="0" applyBorder="0" applyAlignment="0" applyProtection="0"/>
    <xf numFmtId="0" fontId="188" fillId="0" borderId="76" applyNumberFormat="0" applyFill="0" applyAlignment="0" applyProtection="0"/>
    <xf numFmtId="0" fontId="188" fillId="0" borderId="77" applyNumberFormat="0" applyFill="0" applyAlignment="0" applyProtection="0"/>
    <xf numFmtId="0" fontId="8" fillId="0" borderId="0" applyFont="0" applyFill="0" applyBorder="0" applyAlignment="0" applyProtection="0"/>
    <xf numFmtId="0" fontId="18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8" fillId="0" borderId="0" applyFont="0" applyAlignment="0"/>
    <xf numFmtId="0" fontId="8" fillId="0" borderId="0" applyNumberFormat="0" applyFont="0" applyAlignment="0"/>
    <xf numFmtId="172" fontId="8" fillId="0" borderId="0" applyFill="0"/>
    <xf numFmtId="0" fontId="8" fillId="0" borderId="0" applyFill="0">
      <alignment horizontal="center" vertical="center" wrapText="1"/>
    </xf>
    <xf numFmtId="0" fontId="44" fillId="21" borderId="4"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0" borderId="5" applyNumberFormat="0" applyFill="0" applyAlignment="0" applyProtection="0"/>
    <xf numFmtId="0" fontId="47" fillId="0" borderId="0" applyNumberFormat="0" applyFill="0" applyBorder="0" applyAlignment="0" applyProtection="0"/>
    <xf numFmtId="0" fontId="50" fillId="7" borderId="3" applyNumberFormat="0" applyAlignment="0" applyProtection="0"/>
    <xf numFmtId="0" fontId="51" fillId="0" borderId="7" applyNumberFormat="0" applyFill="0" applyAlignment="0" applyProtection="0"/>
    <xf numFmtId="0" fontId="52" fillId="22" borderId="0" applyNumberFormat="0" applyBorder="0" applyAlignment="0" applyProtection="0"/>
    <xf numFmtId="0" fontId="8" fillId="0" borderId="0"/>
    <xf numFmtId="0" fontId="8" fillId="0" borderId="0"/>
    <xf numFmtId="3" fontId="8" fillId="0" borderId="0"/>
    <xf numFmtId="0" fontId="9" fillId="23" borderId="8" applyNumberFormat="0" applyFont="0" applyAlignment="0" applyProtection="0"/>
    <xf numFmtId="0" fontId="53" fillId="20" borderId="9" applyNumberFormat="0" applyAlignment="0" applyProtection="0"/>
    <xf numFmtId="9" fontId="8" fillId="0" borderId="0" applyFont="0" applyFill="0" applyBorder="0" applyAlignment="0" applyProtection="0"/>
    <xf numFmtId="3" fontId="8" fillId="0" borderId="0">
      <alignment horizontal="left" vertical="top"/>
    </xf>
    <xf numFmtId="3" fontId="8" fillId="0" borderId="0">
      <alignment horizontal="right" vertical="top"/>
    </xf>
    <xf numFmtId="0" fontId="8" fillId="0" borderId="0" applyNumberFormat="0" applyFont="0" applyBorder="0" applyAlignment="0"/>
    <xf numFmtId="0" fontId="8" fillId="0" borderId="0" applyNumberFormat="0" applyFont="0" applyFill="0" applyBorder="0" applyAlignment="0"/>
    <xf numFmtId="0" fontId="8" fillId="0" borderId="0" applyNumberFormat="0" applyFont="0" applyBorder="0" applyAlignment="0"/>
    <xf numFmtId="0" fontId="8" fillId="0" borderId="0" applyNumberFormat="0" applyFont="0" applyBorder="0" applyAlignment="0"/>
    <xf numFmtId="0" fontId="8" fillId="0" borderId="0" applyFill="0">
      <alignment horizontal="left" indent="4"/>
    </xf>
    <xf numFmtId="0" fontId="8" fillId="0" borderId="0" applyNumberFormat="0" applyFont="0" applyBorder="0" applyAlignment="0"/>
    <xf numFmtId="0" fontId="8" fillId="0" borderId="0" applyNumberFormat="0" applyFont="0" applyFill="0" applyBorder="0" applyAlignment="0"/>
    <xf numFmtId="0" fontId="60" fillId="0" borderId="0" applyNumberFormat="0" applyFill="0" applyBorder="0" applyAlignment="0" applyProtection="0"/>
    <xf numFmtId="0" fontId="31" fillId="12" borderId="0" applyNumberFormat="0" applyBorder="0" applyAlignment="0" applyProtection="0"/>
    <xf numFmtId="43" fontId="8" fillId="0" borderId="0" applyFont="0" applyFill="0" applyBorder="0" applyAlignment="0" applyProtection="0"/>
    <xf numFmtId="0" fontId="43" fillId="20" borderId="3"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92" fillId="0" borderId="0" applyFont="0" applyFill="0" applyBorder="0" applyAlignment="0" applyProtection="0"/>
    <xf numFmtId="44" fontId="6" fillId="0" borderId="0" applyFont="0" applyFill="0" applyBorder="0" applyAlignment="0" applyProtection="0"/>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6"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xf numFmtId="43" fontId="8" fillId="0" borderId="0" applyFont="0" applyFill="0" applyBorder="0" applyAlignment="0" applyProtection="0"/>
    <xf numFmtId="9" fontId="8" fillId="0" borderId="0" applyFont="0" applyFill="0" applyBorder="0" applyAlignment="0" applyProtection="0"/>
    <xf numFmtId="0" fontId="5" fillId="0" borderId="0"/>
    <xf numFmtId="44" fontId="210" fillId="0" borderId="0" applyFont="0" applyFill="0" applyBorder="0" applyAlignment="0" applyProtection="0"/>
    <xf numFmtId="43" fontId="210"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172" fontId="217" fillId="0" borderId="0" applyProtection="0"/>
    <xf numFmtId="9" fontId="217" fillId="0" borderId="0" applyFont="0" applyFill="0" applyBorder="0" applyAlignment="0" applyProtection="0"/>
    <xf numFmtId="43" fontId="4" fillId="0" borderId="0" applyFont="0" applyFill="0" applyBorder="0" applyAlignment="0" applyProtection="0"/>
    <xf numFmtId="43" fontId="217" fillId="0" borderId="0" applyFont="0" applyFill="0" applyBorder="0" applyAlignment="0" applyProtection="0"/>
    <xf numFmtId="172" fontId="9" fillId="0" borderId="0" applyProtection="0"/>
    <xf numFmtId="172" fontId="9" fillId="0" borderId="0" applyProtection="0"/>
    <xf numFmtId="43" fontId="9" fillId="0" borderId="0" applyFont="0" applyFill="0" applyBorder="0" applyAlignment="0" applyProtection="0"/>
    <xf numFmtId="0" fontId="223" fillId="0" borderId="86">
      <alignment vertical="top"/>
    </xf>
    <xf numFmtId="172" fontId="9" fillId="0" borderId="0" applyProtection="0"/>
    <xf numFmtId="41" fontId="190" fillId="0" borderId="0" applyFont="0" applyFill="0" applyBorder="0" applyAlignment="0" applyProtection="0"/>
    <xf numFmtId="9" fontId="9" fillId="0" borderId="0" applyFont="0" applyFill="0" applyBorder="0" applyAlignment="0" applyProtection="0"/>
    <xf numFmtId="49" fontId="224" fillId="0" borderId="0">
      <alignment horizontal="center" vertical="center" wrapText="1" indent="1"/>
    </xf>
    <xf numFmtId="9" fontId="4" fillId="0" borderId="0" applyFont="0" applyFill="0" applyBorder="0" applyAlignment="0" applyProtection="0"/>
    <xf numFmtId="43" fontId="9" fillId="0" borderId="0" applyFont="0" applyFill="0" applyBorder="0" applyAlignment="0" applyProtection="0"/>
    <xf numFmtId="0" fontId="223" fillId="0" borderId="86">
      <alignment vertical="top"/>
    </xf>
    <xf numFmtId="9" fontId="9"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8" fillId="0" borderId="0"/>
  </cellStyleXfs>
  <cellXfs count="2474">
    <xf numFmtId="0" fontId="0" fillId="0" borderId="0" xfId="0"/>
    <xf numFmtId="0" fontId="9" fillId="0" borderId="0" xfId="881" applyNumberFormat="1"/>
    <xf numFmtId="172" fontId="9" fillId="0" borderId="0" xfId="881"/>
    <xf numFmtId="172" fontId="11" fillId="0" borderId="0" xfId="881" applyFont="1" applyProtection="1">
      <protection locked="0"/>
    </xf>
    <xf numFmtId="0" fontId="11" fillId="0" borderId="0" xfId="881" applyNumberFormat="1" applyFont="1" applyProtection="1">
      <protection locked="0"/>
    </xf>
    <xf numFmtId="3" fontId="11" fillId="0" borderId="0" xfId="881" applyNumberFormat="1" applyFont="1" applyProtection="1">
      <protection locked="0"/>
    </xf>
    <xf numFmtId="172" fontId="11" fillId="0" borderId="0" xfId="881" applyFont="1"/>
    <xf numFmtId="0" fontId="11" fillId="0" borderId="0" xfId="881" applyNumberFormat="1" applyFont="1" applyAlignment="1" applyProtection="1">
      <alignment horizontal="center"/>
      <protection locked="0"/>
    </xf>
    <xf numFmtId="172" fontId="11" fillId="0" borderId="0" xfId="881" applyFont="1" applyAlignment="1" applyProtection="1">
      <alignment horizontal="center"/>
      <protection locked="0"/>
    </xf>
    <xf numFmtId="0" fontId="11" fillId="0" borderId="0" xfId="881" applyNumberFormat="1" applyFont="1"/>
    <xf numFmtId="0" fontId="9" fillId="0" borderId="0" xfId="881" applyNumberFormat="1" applyAlignment="1" applyProtection="1">
      <alignment horizontal="center"/>
      <protection locked="0"/>
    </xf>
    <xf numFmtId="172" fontId="9" fillId="0" borderId="0" xfId="881" applyProtection="1">
      <protection locked="0"/>
    </xf>
    <xf numFmtId="0" fontId="16" fillId="0" borderId="0" xfId="0" applyFont="1"/>
    <xf numFmtId="0" fontId="13" fillId="0" borderId="0" xfId="878" applyFont="1" applyAlignment="1">
      <alignment horizontal="center"/>
    </xf>
    <xf numFmtId="0" fontId="19" fillId="0" borderId="0" xfId="878" applyFont="1"/>
    <xf numFmtId="9" fontId="13" fillId="0" borderId="0" xfId="878" quotePrefix="1" applyNumberFormat="1" applyFont="1" applyAlignment="1">
      <alignment horizontal="center"/>
    </xf>
    <xf numFmtId="0" fontId="21" fillId="0" borderId="0" xfId="878" applyFont="1" applyAlignment="1">
      <alignment horizontal="center"/>
    </xf>
    <xf numFmtId="0" fontId="11" fillId="0" borderId="0" xfId="881" applyNumberFormat="1" applyFont="1" applyAlignment="1" applyProtection="1">
      <alignment horizontal="left"/>
      <protection locked="0"/>
    </xf>
    <xf numFmtId="0" fontId="11" fillId="0" borderId="0" xfId="0" applyFont="1"/>
    <xf numFmtId="0" fontId="19" fillId="0" borderId="0" xfId="0" applyFont="1"/>
    <xf numFmtId="0" fontId="16" fillId="0" borderId="0" xfId="878" applyFont="1"/>
    <xf numFmtId="0" fontId="19" fillId="0" borderId="0" xfId="878" applyFont="1" applyAlignment="1">
      <alignment horizontal="left"/>
    </xf>
    <xf numFmtId="0" fontId="11" fillId="0" borderId="0" xfId="878" applyFont="1" applyAlignment="1">
      <alignment horizontal="right"/>
    </xf>
    <xf numFmtId="0" fontId="11" fillId="0" borderId="0" xfId="878" applyFont="1"/>
    <xf numFmtId="0" fontId="13" fillId="0" borderId="0" xfId="878" applyFont="1"/>
    <xf numFmtId="0" fontId="12" fillId="0" borderId="0" xfId="878" applyFont="1" applyAlignment="1">
      <alignment horizontal="center"/>
    </xf>
    <xf numFmtId="37" fontId="11" fillId="0" borderId="0" xfId="0" applyNumberFormat="1" applyFont="1"/>
    <xf numFmtId="37" fontId="11" fillId="0" borderId="0" xfId="0" applyNumberFormat="1" applyFont="1" applyAlignment="1">
      <alignment horizontal="center"/>
    </xf>
    <xf numFmtId="175" fontId="11" fillId="0" borderId="0" xfId="0" applyNumberFormat="1" applyFont="1"/>
    <xf numFmtId="0" fontId="14" fillId="0" borderId="0" xfId="878" applyFont="1" applyAlignment="1">
      <alignment horizontal="center"/>
    </xf>
    <xf numFmtId="0" fontId="11" fillId="0" borderId="0" xfId="878" applyFont="1" applyAlignment="1">
      <alignment horizontal="center"/>
    </xf>
    <xf numFmtId="38" fontId="16" fillId="0" borderId="0" xfId="0" applyNumberFormat="1" applyFont="1"/>
    <xf numFmtId="0" fontId="13" fillId="0" borderId="0" xfId="791" quotePrefix="1" applyFont="1" applyAlignment="1">
      <alignment horizontal="center"/>
    </xf>
    <xf numFmtId="0" fontId="13" fillId="0" borderId="0" xfId="0" applyFont="1" applyAlignment="1">
      <alignment horizontal="center"/>
    </xf>
    <xf numFmtId="3" fontId="14" fillId="0" borderId="0" xfId="0" applyNumberFormat="1" applyFont="1" applyAlignment="1">
      <alignment horizontal="center"/>
    </xf>
    <xf numFmtId="0" fontId="10" fillId="0" borderId="0" xfId="0" applyFont="1"/>
    <xf numFmtId="0" fontId="15" fillId="0" borderId="0" xfId="0" applyFont="1"/>
    <xf numFmtId="0" fontId="64" fillId="0" borderId="0" xfId="882" applyFont="1"/>
    <xf numFmtId="173" fontId="64" fillId="0" borderId="13" xfId="198" applyNumberFormat="1" applyFont="1" applyFill="1" applyBorder="1"/>
    <xf numFmtId="173" fontId="11" fillId="0" borderId="0" xfId="198" applyNumberFormat="1" applyFont="1" applyFill="1"/>
    <xf numFmtId="0" fontId="21" fillId="0" borderId="0" xfId="791" applyFont="1" applyAlignment="1">
      <alignment horizontal="center"/>
    </xf>
    <xf numFmtId="0" fontId="21" fillId="0" borderId="0" xfId="0" applyFont="1" applyAlignment="1">
      <alignment horizontal="center"/>
    </xf>
    <xf numFmtId="0" fontId="18" fillId="0" borderId="0" xfId="878" applyFont="1"/>
    <xf numFmtId="0" fontId="70" fillId="0" borderId="0" xfId="878" applyFont="1"/>
    <xf numFmtId="9" fontId="14" fillId="0" borderId="0" xfId="878" quotePrefix="1" applyNumberFormat="1" applyFont="1" applyAlignment="1">
      <alignment horizontal="center"/>
    </xf>
    <xf numFmtId="0" fontId="22" fillId="0" borderId="0" xfId="882" applyFont="1"/>
    <xf numFmtId="49" fontId="11" fillId="0" borderId="0" xfId="881" applyNumberFormat="1" applyFont="1" applyProtection="1">
      <protection locked="0"/>
    </xf>
    <xf numFmtId="0" fontId="11" fillId="0" borderId="0" xfId="0" applyFont="1" applyAlignment="1">
      <alignment horizontal="center"/>
    </xf>
    <xf numFmtId="0" fontId="13" fillId="0" borderId="11" xfId="0" applyFont="1" applyBorder="1" applyAlignment="1">
      <alignment horizontal="center" wrapText="1"/>
    </xf>
    <xf numFmtId="0" fontId="16" fillId="0" borderId="0" xfId="0" applyFont="1" applyAlignment="1">
      <alignment horizontal="center"/>
    </xf>
    <xf numFmtId="175" fontId="11" fillId="0" borderId="15" xfId="0" applyNumberFormat="1" applyFont="1" applyBorder="1"/>
    <xf numFmtId="10" fontId="11" fillId="0" borderId="14" xfId="899" applyNumberFormat="1" applyFont="1" applyFill="1" applyBorder="1" applyAlignment="1" applyProtection="1">
      <alignment horizontal="right"/>
      <protection locked="0"/>
    </xf>
    <xf numFmtId="0" fontId="9" fillId="0" borderId="0" xfId="881" applyNumberFormat="1" applyProtection="1">
      <protection locked="0"/>
    </xf>
    <xf numFmtId="170" fontId="11" fillId="0" borderId="0" xfId="881" applyNumberFormat="1" applyFont="1"/>
    <xf numFmtId="1" fontId="11" fillId="0" borderId="0" xfId="881" applyNumberFormat="1" applyFont="1" applyAlignment="1" applyProtection="1">
      <alignment horizontal="center"/>
      <protection locked="0"/>
    </xf>
    <xf numFmtId="0" fontId="11" fillId="0" borderId="0" xfId="881" applyNumberFormat="1" applyFont="1" applyAlignment="1" applyProtection="1">
      <alignment horizontal="right"/>
      <protection locked="0"/>
    </xf>
    <xf numFmtId="40" fontId="11" fillId="0" borderId="0" xfId="878" applyNumberFormat="1" applyFont="1"/>
    <xf numFmtId="37" fontId="84" fillId="0" borderId="0" xfId="878" applyNumberFormat="1" applyFont="1"/>
    <xf numFmtId="192" fontId="19" fillId="0" borderId="0" xfId="878" applyNumberFormat="1" applyFont="1"/>
    <xf numFmtId="173" fontId="64" fillId="0" borderId="15" xfId="198" applyNumberFormat="1" applyFont="1" applyFill="1" applyBorder="1"/>
    <xf numFmtId="10" fontId="11" fillId="0" borderId="0" xfId="899" applyNumberFormat="1" applyFont="1" applyFill="1" applyAlignment="1">
      <alignment horizontal="right"/>
    </xf>
    <xf numFmtId="37" fontId="12" fillId="0" borderId="0" xfId="198" applyNumberFormat="1" applyFont="1" applyFill="1" applyAlignment="1">
      <alignment horizontal="center"/>
    </xf>
    <xf numFmtId="38" fontId="19" fillId="0" borderId="0" xfId="878" applyNumberFormat="1" applyFont="1"/>
    <xf numFmtId="3" fontId="19" fillId="0" borderId="0" xfId="878" applyNumberFormat="1" applyFont="1"/>
    <xf numFmtId="0" fontId="11" fillId="0" borderId="0" xfId="878" applyFont="1" applyAlignment="1">
      <alignment horizontal="center" vertical="center"/>
    </xf>
    <xf numFmtId="0" fontId="10" fillId="0" borderId="0" xfId="0" applyFont="1" applyAlignment="1">
      <alignment wrapText="1"/>
    </xf>
    <xf numFmtId="49" fontId="11" fillId="0" borderId="0" xfId="791" applyNumberFormat="1" applyFont="1" applyAlignment="1">
      <alignment horizontal="center"/>
    </xf>
    <xf numFmtId="0" fontId="22" fillId="0" borderId="0" xfId="880" applyFont="1" applyAlignment="1">
      <alignment horizontal="center"/>
    </xf>
    <xf numFmtId="0" fontId="22" fillId="0" borderId="0" xfId="880" applyFont="1" applyAlignment="1">
      <alignment horizontal="left" indent="2"/>
    </xf>
    <xf numFmtId="39" fontId="22" fillId="0" borderId="0" xfId="880" applyNumberFormat="1" applyFont="1"/>
    <xf numFmtId="184" fontId="13" fillId="0" borderId="0" xfId="882" quotePrefix="1" applyNumberFormat="1" applyFont="1" applyAlignment="1">
      <alignment horizontal="left"/>
    </xf>
    <xf numFmtId="0" fontId="11" fillId="0" borderId="0" xfId="878" applyFont="1" applyAlignment="1">
      <alignment horizontal="left"/>
    </xf>
    <xf numFmtId="0" fontId="85" fillId="0" borderId="0" xfId="878" applyFont="1"/>
    <xf numFmtId="41" fontId="11" fillId="0" borderId="0" xfId="878" applyNumberFormat="1" applyFont="1"/>
    <xf numFmtId="41" fontId="11" fillId="0" borderId="0" xfId="878" applyNumberFormat="1" applyFont="1" applyAlignment="1">
      <alignment vertical="top"/>
    </xf>
    <xf numFmtId="180" fontId="11" fillId="0" borderId="0" xfId="878" applyNumberFormat="1" applyFont="1"/>
    <xf numFmtId="38" fontId="11" fillId="0" borderId="14" xfId="0" applyNumberFormat="1" applyFont="1" applyBorder="1"/>
    <xf numFmtId="0" fontId="86" fillId="0" borderId="0" xfId="878" applyFont="1"/>
    <xf numFmtId="41" fontId="11" fillId="0" borderId="14" xfId="878" applyNumberFormat="1" applyFont="1" applyBorder="1"/>
    <xf numFmtId="37" fontId="11" fillId="0" borderId="0" xfId="878" applyNumberFormat="1" applyFont="1"/>
    <xf numFmtId="37" fontId="11" fillId="0" borderId="0" xfId="878" applyNumberFormat="1" applyFont="1" applyAlignment="1">
      <alignment vertical="top"/>
    </xf>
    <xf numFmtId="37" fontId="11" fillId="0" borderId="14" xfId="0" applyNumberFormat="1" applyFont="1" applyBorder="1"/>
    <xf numFmtId="49" fontId="12" fillId="0" borderId="0" xfId="881" applyNumberFormat="1" applyFont="1" applyAlignment="1" applyProtection="1">
      <alignment horizontal="center"/>
      <protection locked="0"/>
    </xf>
    <xf numFmtId="0" fontId="16" fillId="0" borderId="0" xfId="0" applyFont="1" applyAlignment="1">
      <alignment vertical="center"/>
    </xf>
    <xf numFmtId="49" fontId="11" fillId="0" borderId="0" xfId="881" applyNumberFormat="1" applyFont="1" applyAlignment="1" applyProtection="1">
      <alignment horizontal="center"/>
      <protection locked="0"/>
    </xf>
    <xf numFmtId="0" fontId="12" fillId="0" borderId="0" xfId="881" applyNumberFormat="1" applyFont="1" applyAlignment="1" applyProtection="1">
      <alignment horizontal="center"/>
      <protection locked="0"/>
    </xf>
    <xf numFmtId="0" fontId="9" fillId="0" borderId="6" xfId="881" applyNumberFormat="1" applyBorder="1" applyAlignment="1" applyProtection="1">
      <alignment horizontal="center"/>
      <protection locked="0"/>
    </xf>
    <xf numFmtId="0" fontId="11" fillId="0" borderId="0" xfId="791" applyFont="1" applyAlignment="1">
      <alignment horizontal="center"/>
    </xf>
    <xf numFmtId="3" fontId="10" fillId="0" borderId="0" xfId="0" applyNumberFormat="1" applyFont="1" applyAlignment="1">
      <alignment horizontal="center"/>
    </xf>
    <xf numFmtId="0" fontId="16" fillId="0" borderId="0" xfId="882" applyFont="1"/>
    <xf numFmtId="0" fontId="22" fillId="0" borderId="0" xfId="882" applyFont="1" applyAlignment="1">
      <alignment horizontal="center"/>
    </xf>
    <xf numFmtId="0" fontId="10" fillId="0" borderId="0" xfId="882" applyFont="1" applyAlignment="1">
      <alignment horizontal="center"/>
    </xf>
    <xf numFmtId="0" fontId="10" fillId="0" borderId="0" xfId="882" applyFont="1"/>
    <xf numFmtId="184" fontId="10" fillId="0" borderId="0" xfId="882" applyNumberFormat="1" applyFont="1" applyAlignment="1">
      <alignment horizontal="center"/>
    </xf>
    <xf numFmtId="0" fontId="66" fillId="0" borderId="0" xfId="882" applyFont="1"/>
    <xf numFmtId="0" fontId="13" fillId="0" borderId="0" xfId="882" applyFont="1"/>
    <xf numFmtId="0" fontId="10" fillId="0" borderId="11" xfId="882" applyFont="1" applyBorder="1" applyAlignment="1">
      <alignment horizontal="center"/>
    </xf>
    <xf numFmtId="184" fontId="10" fillId="0" borderId="11" xfId="882" applyNumberFormat="1" applyFont="1" applyBorder="1" applyAlignment="1">
      <alignment horizontal="center"/>
    </xf>
    <xf numFmtId="0" fontId="66" fillId="0" borderId="11" xfId="882" applyFont="1" applyBorder="1" applyAlignment="1">
      <alignment horizontal="center"/>
    </xf>
    <xf numFmtId="0" fontId="13" fillId="0" borderId="0" xfId="882" applyFont="1" applyAlignment="1">
      <alignment horizontal="center"/>
    </xf>
    <xf numFmtId="184" fontId="22" fillId="0" borderId="0" xfId="882" applyNumberFormat="1" applyFont="1" applyAlignment="1">
      <alignment horizontal="center"/>
    </xf>
    <xf numFmtId="0" fontId="65" fillId="0" borderId="0" xfId="882" applyFont="1"/>
    <xf numFmtId="173" fontId="64" fillId="0" borderId="0" xfId="882" applyNumberFormat="1" applyFont="1"/>
    <xf numFmtId="173" fontId="67" fillId="0" borderId="0" xfId="198" applyNumberFormat="1" applyFont="1" applyFill="1"/>
    <xf numFmtId="43" fontId="64" fillId="0" borderId="0" xfId="198" applyFont="1" applyFill="1"/>
    <xf numFmtId="43" fontId="67" fillId="0" borderId="0" xfId="198" applyFont="1" applyFill="1"/>
    <xf numFmtId="0" fontId="64" fillId="0" borderId="0" xfId="882" applyFont="1" applyAlignment="1">
      <alignment vertical="center"/>
    </xf>
    <xf numFmtId="43" fontId="64" fillId="0" borderId="0" xfId="198" applyFont="1" applyFill="1" applyAlignment="1">
      <alignment vertical="center"/>
    </xf>
    <xf numFmtId="43" fontId="67" fillId="0" borderId="0" xfId="198" applyFont="1" applyFill="1" applyAlignment="1">
      <alignment horizontal="right" vertical="center"/>
    </xf>
    <xf numFmtId="0" fontId="16" fillId="0" borderId="0" xfId="882" applyFont="1" applyAlignment="1">
      <alignment horizontal="center"/>
    </xf>
    <xf numFmtId="184" fontId="16" fillId="0" borderId="0" xfId="882" applyNumberFormat="1" applyFont="1"/>
    <xf numFmtId="0" fontId="22" fillId="0" borderId="0" xfId="0" applyFont="1"/>
    <xf numFmtId="191" fontId="16" fillId="0" borderId="0" xfId="0" applyNumberFormat="1" applyFont="1"/>
    <xf numFmtId="10" fontId="11" fillId="0" borderId="11" xfId="899" applyNumberFormat="1" applyFont="1" applyFill="1" applyBorder="1" applyAlignment="1" applyProtection="1">
      <protection locked="0"/>
    </xf>
    <xf numFmtId="0" fontId="11" fillId="0" borderId="0" xfId="791" applyFont="1"/>
    <xf numFmtId="3" fontId="11" fillId="0" borderId="0" xfId="0" applyNumberFormat="1" applyFont="1" applyAlignment="1">
      <alignment horizontal="center"/>
    </xf>
    <xf numFmtId="49" fontId="11" fillId="0" borderId="0" xfId="791" applyNumberFormat="1" applyFont="1" applyAlignment="1">
      <alignment horizontal="left"/>
    </xf>
    <xf numFmtId="43" fontId="11" fillId="0" borderId="0" xfId="198" applyFont="1" applyFill="1" applyAlignment="1">
      <alignment vertical="center"/>
    </xf>
    <xf numFmtId="173" fontId="11" fillId="0" borderId="0" xfId="198" applyNumberFormat="1" applyFont="1" applyFill="1" applyAlignment="1">
      <alignment vertical="center"/>
    </xf>
    <xf numFmtId="0" fontId="11" fillId="0" borderId="0" xfId="775" applyFont="1"/>
    <xf numFmtId="37" fontId="117" fillId="0" borderId="0" xfId="0" applyNumberFormat="1" applyFont="1"/>
    <xf numFmtId="175" fontId="117" fillId="0" borderId="0" xfId="0" applyNumberFormat="1" applyFont="1"/>
    <xf numFmtId="0" fontId="117" fillId="0" borderId="0" xfId="0" applyFont="1"/>
    <xf numFmtId="0" fontId="16" fillId="0" borderId="0" xfId="775"/>
    <xf numFmtId="10" fontId="23" fillId="27" borderId="0" xfId="899" applyNumberFormat="1" applyFont="1" applyFill="1" applyBorder="1"/>
    <xf numFmtId="173" fontId="88" fillId="27" borderId="0" xfId="198" applyNumberFormat="1" applyFont="1" applyFill="1" applyBorder="1"/>
    <xf numFmtId="0" fontId="12" fillId="0" borderId="0" xfId="0" applyFont="1" applyAlignment="1">
      <alignment horizontal="center"/>
    </xf>
    <xf numFmtId="0" fontId="10" fillId="0" borderId="0" xfId="878" applyFont="1" applyAlignment="1">
      <alignment horizontal="left"/>
    </xf>
    <xf numFmtId="0" fontId="12" fillId="0" borderId="0" xfId="0" quotePrefix="1" applyFont="1" applyAlignment="1">
      <alignment horizontal="left"/>
    </xf>
    <xf numFmtId="0" fontId="16" fillId="0" borderId="0" xfId="878" applyFont="1" applyAlignment="1">
      <alignment horizontal="center"/>
    </xf>
    <xf numFmtId="0" fontId="15" fillId="0" borderId="0" xfId="0" applyFont="1" applyAlignment="1">
      <alignment horizontal="center"/>
    </xf>
    <xf numFmtId="0" fontId="13" fillId="0" borderId="0" xfId="878" applyFont="1" applyAlignment="1">
      <alignment horizontal="left"/>
    </xf>
    <xf numFmtId="9" fontId="13" fillId="0" borderId="0" xfId="878" applyNumberFormat="1" applyFont="1" applyAlignment="1">
      <alignment horizontal="center"/>
    </xf>
    <xf numFmtId="38" fontId="16" fillId="0" borderId="0" xfId="0" quotePrefix="1" applyNumberFormat="1" applyFont="1" applyAlignment="1">
      <alignment horizontal="center"/>
    </xf>
    <xf numFmtId="0" fontId="13" fillId="0" borderId="0" xfId="878" applyFont="1" applyAlignment="1">
      <alignment vertical="center"/>
    </xf>
    <xf numFmtId="0" fontId="20" fillId="0" borderId="0" xfId="878" applyFont="1" applyAlignment="1">
      <alignment horizontal="center"/>
    </xf>
    <xf numFmtId="0" fontId="15" fillId="0" borderId="0" xfId="878" applyFont="1" applyAlignment="1">
      <alignment horizontal="center"/>
    </xf>
    <xf numFmtId="185" fontId="16" fillId="0" borderId="0" xfId="0" quotePrefix="1" applyNumberFormat="1" applyFont="1" applyAlignment="1">
      <alignment horizontal="center"/>
    </xf>
    <xf numFmtId="0" fontId="17" fillId="0" borderId="0" xfId="878" applyFont="1" applyAlignment="1">
      <alignment horizontal="center"/>
    </xf>
    <xf numFmtId="185" fontId="16" fillId="0" borderId="0" xfId="0" applyNumberFormat="1" applyFont="1" applyAlignment="1">
      <alignment horizontal="center"/>
    </xf>
    <xf numFmtId="38" fontId="16" fillId="0" borderId="0" xfId="0" applyNumberFormat="1" applyFont="1" applyAlignment="1">
      <alignment horizontal="left"/>
    </xf>
    <xf numFmtId="0" fontId="35" fillId="0" borderId="0" xfId="878" applyFont="1" applyAlignment="1">
      <alignment horizontal="left"/>
    </xf>
    <xf numFmtId="0" fontId="14" fillId="0" borderId="0" xfId="878" applyFont="1" applyAlignment="1">
      <alignment horizontal="left"/>
    </xf>
    <xf numFmtId="3" fontId="12" fillId="0" borderId="0" xfId="198" applyNumberFormat="1" applyFont="1" applyFill="1" applyAlignment="1"/>
    <xf numFmtId="0" fontId="94" fillId="0" borderId="0" xfId="878" applyFont="1" applyAlignment="1">
      <alignment horizontal="center"/>
    </xf>
    <xf numFmtId="0" fontId="26" fillId="0" borderId="0" xfId="878" applyFont="1" applyAlignment="1">
      <alignment horizontal="left"/>
    </xf>
    <xf numFmtId="0" fontId="11" fillId="0" borderId="0" xfId="275" applyNumberFormat="1" applyFont="1" applyFill="1" applyAlignment="1">
      <alignment horizontal="center"/>
    </xf>
    <xf numFmtId="0" fontId="11" fillId="0" borderId="0" xfId="775" applyFont="1" applyAlignment="1">
      <alignment horizontal="center"/>
    </xf>
    <xf numFmtId="172" fontId="12" fillId="0" borderId="0" xfId="881" applyFont="1" applyAlignment="1">
      <alignment horizontal="center"/>
    </xf>
    <xf numFmtId="0" fontId="12" fillId="0" borderId="0" xfId="881" quotePrefix="1" applyNumberFormat="1" applyFont="1" applyAlignment="1" applyProtection="1">
      <alignment horizontal="center"/>
      <protection locked="0"/>
    </xf>
    <xf numFmtId="173" fontId="11" fillId="0" borderId="0" xfId="275" applyNumberFormat="1" applyFont="1" applyFill="1" applyAlignment="1"/>
    <xf numFmtId="172" fontId="33" fillId="0" borderId="0" xfId="881" applyFont="1"/>
    <xf numFmtId="170" fontId="11" fillId="0" borderId="0" xfId="881" applyNumberFormat="1" applyFont="1" applyProtection="1">
      <protection locked="0"/>
    </xf>
    <xf numFmtId="173" fontId="11" fillId="0" borderId="0" xfId="275" applyNumberFormat="1" applyFont="1" applyFill="1" applyAlignment="1" applyProtection="1">
      <protection locked="0"/>
    </xf>
    <xf numFmtId="0" fontId="11" fillId="0" borderId="0" xfId="775" applyFont="1" applyAlignment="1">
      <alignment horizontal="right"/>
    </xf>
    <xf numFmtId="0" fontId="11" fillId="0" borderId="36" xfId="881" applyNumberFormat="1" applyFont="1" applyBorder="1" applyAlignment="1" applyProtection="1">
      <alignment horizontal="center"/>
      <protection locked="0"/>
    </xf>
    <xf numFmtId="0" fontId="12" fillId="0" borderId="36" xfId="881" applyNumberFormat="1" applyFont="1" applyBorder="1" applyProtection="1">
      <protection locked="0"/>
    </xf>
    <xf numFmtId="172" fontId="12" fillId="0" borderId="36" xfId="881" applyFont="1" applyBorder="1"/>
    <xf numFmtId="172" fontId="12" fillId="0" borderId="36" xfId="881" applyFont="1" applyBorder="1" applyProtection="1">
      <protection locked="0"/>
    </xf>
    <xf numFmtId="172" fontId="12" fillId="0" borderId="0" xfId="881" applyFont="1" applyProtection="1">
      <protection locked="0"/>
    </xf>
    <xf numFmtId="0" fontId="12" fillId="0" borderId="0" xfId="775" applyFont="1"/>
    <xf numFmtId="174" fontId="11" fillId="0" borderId="0" xfId="551" applyNumberFormat="1" applyFont="1" applyFill="1"/>
    <xf numFmtId="174" fontId="11" fillId="0" borderId="0" xfId="881" applyNumberFormat="1" applyFont="1"/>
    <xf numFmtId="43" fontId="11" fillId="0" borderId="0" xfId="881" applyNumberFormat="1" applyFont="1"/>
    <xf numFmtId="3" fontId="11" fillId="0" borderId="0" xfId="775" applyNumberFormat="1" applyFont="1" applyAlignment="1">
      <alignment horizontal="center"/>
    </xf>
    <xf numFmtId="0" fontId="11" fillId="0" borderId="0" xfId="775" quotePrefix="1" applyFont="1" applyAlignment="1">
      <alignment horizontal="left"/>
    </xf>
    <xf numFmtId="173" fontId="81" fillId="0" borderId="0" xfId="275" applyNumberFormat="1" applyFont="1" applyFill="1" applyAlignment="1"/>
    <xf numFmtId="0" fontId="11" fillId="0" borderId="36" xfId="775" applyFont="1" applyBorder="1"/>
    <xf numFmtId="1" fontId="11" fillId="0" borderId="36" xfId="881" applyNumberFormat="1" applyFont="1" applyBorder="1" applyAlignment="1" applyProtection="1">
      <alignment horizontal="center"/>
      <protection locked="0"/>
    </xf>
    <xf numFmtId="0" fontId="81" fillId="0" borderId="0" xfId="881" applyNumberFormat="1" applyFont="1" applyProtection="1">
      <protection locked="0"/>
    </xf>
    <xf numFmtId="0" fontId="81" fillId="0" borderId="0" xfId="775" applyFont="1"/>
    <xf numFmtId="0" fontId="9" fillId="0" borderId="0" xfId="775" applyFont="1"/>
    <xf numFmtId="3" fontId="10" fillId="0" borderId="0" xfId="0" applyNumberFormat="1" applyFont="1"/>
    <xf numFmtId="173" fontId="90" fillId="27" borderId="0" xfId="311" applyNumberFormat="1" applyFont="1" applyFill="1" applyBorder="1"/>
    <xf numFmtId="43" fontId="23" fillId="27" borderId="0" xfId="311" applyFont="1" applyFill="1" applyBorder="1"/>
    <xf numFmtId="173" fontId="23" fillId="27" borderId="0" xfId="311" applyNumberFormat="1" applyFont="1" applyFill="1" applyBorder="1"/>
    <xf numFmtId="43" fontId="91" fillId="27" borderId="0" xfId="311" applyFont="1" applyFill="1" applyBorder="1"/>
    <xf numFmtId="0" fontId="133" fillId="0" borderId="0" xfId="878" applyFont="1" applyAlignment="1">
      <alignment horizontal="center"/>
    </xf>
    <xf numFmtId="190" fontId="21" fillId="0" borderId="0" xfId="791" applyNumberFormat="1" applyFont="1" applyAlignment="1">
      <alignment horizontal="center"/>
    </xf>
    <xf numFmtId="0" fontId="16" fillId="0" borderId="0" xfId="881" applyNumberFormat="1" applyFont="1" applyProtection="1"/>
    <xf numFmtId="0" fontId="113" fillId="0" borderId="0" xfId="883" applyFont="1" applyAlignment="1">
      <alignment vertical="top"/>
    </xf>
    <xf numFmtId="0" fontId="113" fillId="0" borderId="0" xfId="883" applyFont="1"/>
    <xf numFmtId="0" fontId="12" fillId="0" borderId="0" xfId="879" applyFont="1"/>
    <xf numFmtId="0" fontId="14" fillId="0" borderId="0" xfId="878" applyFont="1" applyAlignment="1">
      <alignment horizontal="center" wrapText="1"/>
    </xf>
    <xf numFmtId="0" fontId="12" fillId="0" borderId="0" xfId="878" applyFont="1"/>
    <xf numFmtId="0" fontId="10" fillId="0" borderId="0" xfId="0" applyFont="1" applyAlignment="1">
      <alignment horizontal="center"/>
    </xf>
    <xf numFmtId="10" fontId="11" fillId="27" borderId="0" xfId="899" applyNumberFormat="1" applyFont="1" applyFill="1" applyBorder="1"/>
    <xf numFmtId="37" fontId="11" fillId="0" borderId="0" xfId="0" applyNumberFormat="1" applyFont="1" applyAlignment="1">
      <alignment horizontal="left"/>
    </xf>
    <xf numFmtId="172" fontId="11" fillId="0" borderId="0" xfId="881" applyFont="1" applyAlignment="1">
      <alignment horizontal="right"/>
    </xf>
    <xf numFmtId="41" fontId="11" fillId="0" borderId="0" xfId="0" applyNumberFormat="1" applyFont="1"/>
    <xf numFmtId="3" fontId="23" fillId="27" borderId="0" xfId="0" applyNumberFormat="1" applyFont="1" applyFill="1"/>
    <xf numFmtId="9" fontId="23" fillId="27" borderId="11" xfId="899" applyFont="1" applyFill="1" applyBorder="1"/>
    <xf numFmtId="9" fontId="23" fillId="27" borderId="11" xfId="0" applyNumberFormat="1" applyFont="1" applyFill="1" applyBorder="1"/>
    <xf numFmtId="1" fontId="12" fillId="0" borderId="36" xfId="881" applyNumberFormat="1" applyFont="1" applyBorder="1" applyAlignment="1" applyProtection="1">
      <alignment horizontal="center"/>
      <protection locked="0"/>
    </xf>
    <xf numFmtId="0" fontId="12" fillId="0" borderId="36" xfId="775" applyFont="1" applyBorder="1"/>
    <xf numFmtId="0" fontId="9" fillId="0" borderId="35" xfId="881" applyNumberFormat="1" applyBorder="1" applyAlignment="1" applyProtection="1">
      <alignment horizontal="center"/>
      <protection locked="0"/>
    </xf>
    <xf numFmtId="0" fontId="12" fillId="0" borderId="0" xfId="881" applyNumberFormat="1" applyFont="1" applyProtection="1">
      <protection locked="0"/>
    </xf>
    <xf numFmtId="172" fontId="12" fillId="0" borderId="0" xfId="881" applyFont="1"/>
    <xf numFmtId="1" fontId="12" fillId="0" borderId="0" xfId="881" applyNumberFormat="1" applyFont="1" applyAlignment="1" applyProtection="1">
      <alignment horizontal="center"/>
      <protection locked="0"/>
    </xf>
    <xf numFmtId="0" fontId="79" fillId="0" borderId="0" xfId="881" applyNumberFormat="1" applyFont="1" applyAlignment="1" applyProtection="1">
      <alignment horizontal="left"/>
      <protection locked="0"/>
    </xf>
    <xf numFmtId="0" fontId="11" fillId="0" borderId="35" xfId="775" quotePrefix="1" applyFont="1" applyBorder="1" applyAlignment="1">
      <alignment horizontal="left"/>
    </xf>
    <xf numFmtId="0" fontId="90" fillId="27" borderId="0" xfId="882" applyFont="1" applyFill="1"/>
    <xf numFmtId="49" fontId="137" fillId="0" borderId="0" xfId="881" applyNumberFormat="1" applyFont="1" applyAlignment="1" applyProtection="1">
      <alignment horizontal="center"/>
      <protection locked="0"/>
    </xf>
    <xf numFmtId="0" fontId="0" fillId="0" borderId="0" xfId="0" applyAlignment="1">
      <alignment horizontal="center" vertical="center"/>
    </xf>
    <xf numFmtId="0" fontId="0" fillId="0" borderId="0" xfId="0" applyAlignment="1">
      <alignment vertical="center"/>
    </xf>
    <xf numFmtId="173" fontId="160" fillId="27" borderId="0" xfId="311" applyNumberFormat="1" applyFont="1" applyFill="1" applyBorder="1"/>
    <xf numFmtId="0" fontId="159" fillId="0" borderId="0" xfId="0" applyFont="1"/>
    <xf numFmtId="172" fontId="159" fillId="0" borderId="0" xfId="881" applyFont="1"/>
    <xf numFmtId="0" fontId="8" fillId="0" borderId="0" xfId="1172"/>
    <xf numFmtId="0" fontId="159" fillId="0" borderId="0" xfId="882" applyFont="1"/>
    <xf numFmtId="0" fontId="159" fillId="0" borderId="0" xfId="878" applyFont="1"/>
    <xf numFmtId="1" fontId="159" fillId="0" borderId="0" xfId="775" applyNumberFormat="1" applyFont="1"/>
    <xf numFmtId="0" fontId="0" fillId="0" borderId="0" xfId="0" applyAlignment="1">
      <alignment horizontal="center"/>
    </xf>
    <xf numFmtId="0" fontId="8" fillId="0" borderId="0" xfId="1172" applyAlignment="1">
      <alignment horizontal="center"/>
    </xf>
    <xf numFmtId="0" fontId="19" fillId="0" borderId="0" xfId="1172" applyFont="1"/>
    <xf numFmtId="0" fontId="19" fillId="0" borderId="0" xfId="1172" applyFont="1" applyAlignment="1">
      <alignment horizontal="center"/>
    </xf>
    <xf numFmtId="0" fontId="73" fillId="0" borderId="0" xfId="1173" applyFont="1" applyAlignment="1">
      <alignment horizontal="centerContinuous"/>
    </xf>
    <xf numFmtId="0" fontId="19" fillId="0" borderId="0" xfId="1173" applyFont="1" applyAlignment="1">
      <alignment horizontal="left"/>
    </xf>
    <xf numFmtId="0" fontId="73" fillId="0" borderId="0" xfId="1173" applyFont="1" applyAlignment="1">
      <alignment horizontal="center"/>
    </xf>
    <xf numFmtId="0" fontId="13" fillId="0" borderId="0" xfId="1173" applyFont="1" applyAlignment="1">
      <alignment horizontal="centerContinuous"/>
    </xf>
    <xf numFmtId="0" fontId="8" fillId="0" borderId="53" xfId="1172" applyBorder="1" applyAlignment="1">
      <alignment horizontal="center" wrapText="1"/>
    </xf>
    <xf numFmtId="0" fontId="13" fillId="0" borderId="52" xfId="1173" applyFont="1" applyBorder="1" applyAlignment="1">
      <alignment horizontal="center" wrapText="1"/>
    </xf>
    <xf numFmtId="0" fontId="13" fillId="0" borderId="16" xfId="1173" applyFont="1" applyBorder="1" applyAlignment="1">
      <alignment horizontal="center" wrapText="1"/>
    </xf>
    <xf numFmtId="0" fontId="19" fillId="0" borderId="0" xfId="1172" applyFont="1" applyAlignment="1">
      <alignment wrapText="1"/>
    </xf>
    <xf numFmtId="0" fontId="8" fillId="0" borderId="51" xfId="1172" applyBorder="1" applyAlignment="1">
      <alignment horizontal="center"/>
    </xf>
    <xf numFmtId="0" fontId="13" fillId="0" borderId="50" xfId="1173" applyFont="1" applyBorder="1" applyAlignment="1">
      <alignment horizontal="center"/>
    </xf>
    <xf numFmtId="0" fontId="13" fillId="0" borderId="51" xfId="1173" applyFont="1" applyBorder="1" applyAlignment="1">
      <alignment horizontal="center"/>
    </xf>
    <xf numFmtId="0" fontId="13" fillId="0" borderId="0" xfId="1173" applyFont="1" applyAlignment="1">
      <alignment horizontal="center"/>
    </xf>
    <xf numFmtId="0" fontId="13" fillId="0" borderId="10" xfId="1173" applyFont="1" applyBorder="1" applyAlignment="1">
      <alignment horizontal="center"/>
    </xf>
    <xf numFmtId="0" fontId="162" fillId="0" borderId="0" xfId="1172" applyFont="1"/>
    <xf numFmtId="3" fontId="24" fillId="0" borderId="49" xfId="1172" applyNumberFormat="1" applyFont="1" applyBorder="1" applyAlignment="1">
      <alignment horizontal="center" wrapText="1"/>
    </xf>
    <xf numFmtId="3" fontId="24" fillId="0" borderId="11" xfId="1172" applyNumberFormat="1" applyFont="1" applyBorder="1" applyAlignment="1">
      <alignment horizontal="center" wrapText="1"/>
    </xf>
    <xf numFmtId="3" fontId="24" fillId="0" borderId="68" xfId="1172" applyNumberFormat="1" applyFont="1" applyBorder="1" applyAlignment="1">
      <alignment wrapText="1"/>
    </xf>
    <xf numFmtId="0" fontId="8" fillId="0" borderId="50" xfId="1173" quotePrefix="1" applyBorder="1" applyAlignment="1">
      <alignment horizontal="left"/>
    </xf>
    <xf numFmtId="41" fontId="8" fillId="0" borderId="10" xfId="1173" applyNumberFormat="1" applyBorder="1"/>
    <xf numFmtId="0" fontId="8" fillId="0" borderId="50" xfId="1173" applyBorder="1"/>
    <xf numFmtId="0" fontId="8" fillId="0" borderId="49" xfId="1172" applyBorder="1" applyAlignment="1">
      <alignment horizontal="center"/>
    </xf>
    <xf numFmtId="0" fontId="8" fillId="0" borderId="48" xfId="1173" applyBorder="1"/>
    <xf numFmtId="0" fontId="8" fillId="0" borderId="29" xfId="1172" applyBorder="1" applyAlignment="1">
      <alignment horizontal="center"/>
    </xf>
    <xf numFmtId="173" fontId="8" fillId="0" borderId="66" xfId="1175" applyNumberFormat="1" applyFont="1" applyBorder="1"/>
    <xf numFmtId="0" fontId="8" fillId="0" borderId="0" xfId="1173"/>
    <xf numFmtId="37" fontId="8" fillId="0" borderId="0" xfId="1173" applyNumberFormat="1"/>
    <xf numFmtId="3" fontId="24" fillId="0" borderId="68" xfId="1172" applyNumberFormat="1" applyFont="1" applyBorder="1" applyAlignment="1">
      <alignment horizontal="center" wrapText="1"/>
    </xf>
    <xf numFmtId="0" fontId="19" fillId="0" borderId="0" xfId="1173" applyFont="1"/>
    <xf numFmtId="37" fontId="19" fillId="0" borderId="0" xfId="1173" applyNumberFormat="1" applyFont="1"/>
    <xf numFmtId="0" fontId="8" fillId="0" borderId="0" xfId="1176" applyAlignment="1">
      <alignment vertical="top"/>
    </xf>
    <xf numFmtId="0" fontId="8" fillId="0" borderId="0" xfId="1172" applyAlignment="1">
      <alignment vertical="top" wrapText="1"/>
    </xf>
    <xf numFmtId="0" fontId="162" fillId="0" borderId="0" xfId="1172" applyFont="1" applyAlignment="1">
      <alignment horizontal="center"/>
    </xf>
    <xf numFmtId="0" fontId="72" fillId="0" borderId="0" xfId="1177" applyFont="1"/>
    <xf numFmtId="0" fontId="73" fillId="0" borderId="0" xfId="1172" applyFont="1" applyAlignment="1">
      <alignment horizontal="center"/>
    </xf>
    <xf numFmtId="0" fontId="73" fillId="0" borderId="0" xfId="1172" quotePrefix="1" applyFont="1" applyAlignment="1">
      <alignment horizontal="center"/>
    </xf>
    <xf numFmtId="0" fontId="8" fillId="0" borderId="0" xfId="881" applyNumberFormat="1" applyFont="1" applyAlignment="1" applyProtection="1">
      <alignment horizontal="center"/>
    </xf>
    <xf numFmtId="0" fontId="13" fillId="0" borderId="0" xfId="1177" applyFont="1" applyAlignment="1">
      <alignment horizontal="left"/>
    </xf>
    <xf numFmtId="173" fontId="8" fillId="0" borderId="0" xfId="1175" applyNumberFormat="1" applyFont="1" applyFill="1" applyProtection="1"/>
    <xf numFmtId="0" fontId="8" fillId="0" borderId="0" xfId="1177"/>
    <xf numFmtId="0" fontId="8" fillId="0" borderId="0" xfId="1178"/>
    <xf numFmtId="0" fontId="8" fillId="0" borderId="0" xfId="1179" applyAlignment="1">
      <alignment horizontal="left"/>
    </xf>
    <xf numFmtId="0" fontId="8" fillId="0" borderId="0" xfId="1176" applyAlignment="1">
      <alignment horizontal="left"/>
    </xf>
    <xf numFmtId="0" fontId="8" fillId="0" borderId="0" xfId="1178" applyAlignment="1">
      <alignment wrapText="1"/>
    </xf>
    <xf numFmtId="10" fontId="8" fillId="0" borderId="0" xfId="1180" applyNumberFormat="1" applyFont="1" applyFill="1" applyBorder="1" applyProtection="1"/>
    <xf numFmtId="10" fontId="13" fillId="0" borderId="0" xfId="1180" applyNumberFormat="1" applyFont="1" applyFill="1" applyBorder="1" applyProtection="1"/>
    <xf numFmtId="0" fontId="13" fillId="0" borderId="0" xfId="1177" applyFont="1"/>
    <xf numFmtId="173" fontId="8" fillId="0" borderId="0" xfId="1180" applyNumberFormat="1" applyFont="1" applyFill="1" applyBorder="1" applyProtection="1"/>
    <xf numFmtId="0" fontId="8" fillId="0" borderId="0" xfId="1177" applyAlignment="1">
      <alignment horizontal="left"/>
    </xf>
    <xf numFmtId="10" fontId="13" fillId="0" borderId="13" xfId="1180" applyNumberFormat="1" applyFont="1" applyFill="1" applyBorder="1" applyProtection="1"/>
    <xf numFmtId="0" fontId="163" fillId="0" borderId="0" xfId="1178" applyFont="1" applyAlignment="1">
      <alignment horizontal="center"/>
    </xf>
    <xf numFmtId="0" fontId="13" fillId="0" borderId="0" xfId="881" applyNumberFormat="1" applyFont="1" applyAlignment="1" applyProtection="1">
      <alignment vertical="center"/>
    </xf>
    <xf numFmtId="0" fontId="165" fillId="0" borderId="0" xfId="1172" applyFont="1"/>
    <xf numFmtId="0" fontId="19" fillId="0" borderId="0" xfId="1177" applyFont="1"/>
    <xf numFmtId="0" fontId="87" fillId="0" borderId="0" xfId="1172" applyFont="1"/>
    <xf numFmtId="0" fontId="8" fillId="0" borderId="0" xfId="881" applyNumberFormat="1" applyFont="1" applyProtection="1"/>
    <xf numFmtId="0" fontId="13" fillId="0" borderId="0" xfId="1177" applyFont="1" applyAlignment="1">
      <alignment horizontal="center" wrapText="1"/>
    </xf>
    <xf numFmtId="41" fontId="13" fillId="0" borderId="0" xfId="1177" applyNumberFormat="1" applyFont="1" applyAlignment="1">
      <alignment horizontal="center" wrapText="1"/>
    </xf>
    <xf numFmtId="173" fontId="19" fillId="0" borderId="0" xfId="1177" applyNumberFormat="1" applyFont="1"/>
    <xf numFmtId="0" fontId="8" fillId="0" borderId="11" xfId="1172" applyBorder="1"/>
    <xf numFmtId="0" fontId="8" fillId="61" borderId="0" xfId="1177" applyFill="1" applyAlignment="1">
      <alignment horizontal="left"/>
    </xf>
    <xf numFmtId="41" fontId="8" fillId="0" borderId="0" xfId="1180" applyNumberFormat="1" applyFont="1" applyFill="1" applyBorder="1" applyProtection="1"/>
    <xf numFmtId="186" fontId="8" fillId="0" borderId="0" xfId="1175" applyNumberFormat="1" applyFont="1" applyFill="1" applyBorder="1" applyProtection="1"/>
    <xf numFmtId="10" fontId="19" fillId="0" borderId="0" xfId="1180" applyNumberFormat="1" applyFont="1" applyFill="1" applyProtection="1"/>
    <xf numFmtId="173" fontId="8" fillId="0" borderId="0" xfId="1175" applyNumberFormat="1" applyFont="1" applyFill="1" applyBorder="1" applyProtection="1"/>
    <xf numFmtId="173" fontId="13" fillId="0" borderId="13" xfId="1175" applyNumberFormat="1" applyFont="1" applyFill="1" applyBorder="1" applyProtection="1"/>
    <xf numFmtId="0" fontId="72" fillId="0" borderId="0" xfId="1177" applyFont="1" applyAlignment="1">
      <alignment horizontal="left"/>
    </xf>
    <xf numFmtId="0" fontId="19" fillId="0" borderId="0" xfId="1177" applyFont="1" applyAlignment="1">
      <alignment horizontal="left"/>
    </xf>
    <xf numFmtId="0" fontId="19" fillId="0" borderId="11" xfId="1172" applyFont="1" applyBorder="1"/>
    <xf numFmtId="173" fontId="8" fillId="0" borderId="2" xfId="1180" applyNumberFormat="1" applyFont="1" applyFill="1" applyBorder="1" applyProtection="1"/>
    <xf numFmtId="0" fontId="8" fillId="0" borderId="0" xfId="881" applyNumberFormat="1" applyFont="1" applyAlignment="1" applyProtection="1">
      <alignment horizontal="center" vertical="top"/>
    </xf>
    <xf numFmtId="0" fontId="8" fillId="0" borderId="0" xfId="0" applyFont="1"/>
    <xf numFmtId="0" fontId="88" fillId="27" borderId="0" xfId="1176" quotePrefix="1" applyFont="1" applyFill="1" applyAlignment="1">
      <alignment horizontal="left"/>
    </xf>
    <xf numFmtId="0" fontId="17" fillId="0" borderId="0" xfId="0" applyFont="1"/>
    <xf numFmtId="0" fontId="21" fillId="0" borderId="11" xfId="0" applyFont="1" applyBorder="1" applyAlignment="1">
      <alignment horizontal="center"/>
    </xf>
    <xf numFmtId="3" fontId="58" fillId="0" borderId="0" xfId="760" applyNumberFormat="1" applyFont="1" applyAlignment="1">
      <alignment horizontal="left" wrapText="1"/>
    </xf>
    <xf numFmtId="0" fontId="11" fillId="0" borderId="0" xfId="760" applyFont="1"/>
    <xf numFmtId="0" fontId="13" fillId="0" borderId="0" xfId="879" quotePrefix="1" applyFont="1"/>
    <xf numFmtId="173" fontId="8" fillId="0" borderId="0" xfId="198" applyNumberFormat="1" applyFont="1" applyFill="1" applyBorder="1"/>
    <xf numFmtId="0" fontId="8" fillId="0" borderId="0" xfId="791" applyFont="1"/>
    <xf numFmtId="0" fontId="8" fillId="0" borderId="0" xfId="760" applyFont="1"/>
    <xf numFmtId="1" fontId="8" fillId="0" borderId="0" xfId="0" applyNumberFormat="1" applyFont="1" applyAlignment="1">
      <alignment horizontal="center"/>
    </xf>
    <xf numFmtId="43" fontId="8" fillId="0" borderId="0" xfId="202" applyFont="1" applyFill="1" applyBorder="1"/>
    <xf numFmtId="43" fontId="81" fillId="0" borderId="0" xfId="202" applyFont="1" applyFill="1" applyBorder="1"/>
    <xf numFmtId="43" fontId="11" fillId="0" borderId="0" xfId="202" applyFont="1" applyFill="1" applyBorder="1"/>
    <xf numFmtId="43" fontId="13" fillId="0" borderId="0" xfId="202" applyFont="1" applyFill="1" applyBorder="1"/>
    <xf numFmtId="1" fontId="8" fillId="0" borderId="0" xfId="791" applyNumberFormat="1" applyFont="1" applyAlignment="1">
      <alignment horizontal="center"/>
    </xf>
    <xf numFmtId="43" fontId="8" fillId="27" borderId="0" xfId="202" applyFont="1" applyFill="1" applyBorder="1"/>
    <xf numFmtId="43" fontId="81" fillId="27" borderId="0" xfId="202" applyFont="1" applyFill="1" applyBorder="1"/>
    <xf numFmtId="43" fontId="8" fillId="27" borderId="0" xfId="202" applyFont="1" applyFill="1" applyBorder="1" applyAlignment="1">
      <alignment horizontal="center"/>
    </xf>
    <xf numFmtId="0" fontId="8" fillId="27" borderId="0" xfId="202" applyNumberFormat="1" applyFont="1" applyFill="1" applyBorder="1" applyAlignment="1">
      <alignment horizontal="center"/>
    </xf>
    <xf numFmtId="173" fontId="8" fillId="27" borderId="0" xfId="202" applyNumberFormat="1" applyFont="1" applyFill="1" applyBorder="1"/>
    <xf numFmtId="0" fontId="8" fillId="27" borderId="0" xfId="202" quotePrefix="1" applyNumberFormat="1" applyFont="1" applyFill="1" applyBorder="1" applyAlignment="1">
      <alignment horizontal="center"/>
    </xf>
    <xf numFmtId="43" fontId="8" fillId="0" borderId="2" xfId="202" applyFont="1" applyFill="1" applyBorder="1"/>
    <xf numFmtId="43" fontId="81" fillId="0" borderId="2" xfId="202" applyFont="1" applyFill="1" applyBorder="1"/>
    <xf numFmtId="0" fontId="8" fillId="0" borderId="2" xfId="202" applyNumberFormat="1" applyFont="1" applyFill="1" applyBorder="1" applyAlignment="1">
      <alignment horizontal="center"/>
    </xf>
    <xf numFmtId="173" fontId="8" fillId="0" borderId="2" xfId="202" applyNumberFormat="1" applyFont="1" applyFill="1" applyBorder="1"/>
    <xf numFmtId="0" fontId="8" fillId="0" borderId="0" xfId="202" applyNumberFormat="1" applyFont="1" applyFill="1" applyBorder="1" applyAlignment="1">
      <alignment horizontal="center"/>
    </xf>
    <xf numFmtId="173" fontId="8" fillId="0" borderId="0" xfId="202" applyNumberFormat="1" applyFont="1" applyFill="1" applyBorder="1"/>
    <xf numFmtId="0" fontId="8" fillId="0" borderId="0" xfId="791" applyFont="1" applyAlignment="1">
      <alignment horizontal="center"/>
    </xf>
    <xf numFmtId="0" fontId="195" fillId="0" borderId="0" xfId="791" applyFont="1"/>
    <xf numFmtId="0" fontId="8" fillId="0" borderId="11" xfId="791" applyFont="1" applyBorder="1"/>
    <xf numFmtId="0" fontId="8" fillId="0" borderId="11" xfId="791" applyFont="1" applyBorder="1" applyAlignment="1">
      <alignment horizontal="center" wrapText="1"/>
    </xf>
    <xf numFmtId="190" fontId="21" fillId="0" borderId="11" xfId="791" applyNumberFormat="1" applyFont="1" applyBorder="1" applyAlignment="1">
      <alignment horizontal="center" wrapText="1"/>
    </xf>
    <xf numFmtId="0" fontId="21" fillId="0" borderId="11" xfId="791" quotePrefix="1" applyFont="1" applyBorder="1" applyAlignment="1">
      <alignment horizontal="center" wrapText="1"/>
    </xf>
    <xf numFmtId="14" fontId="8" fillId="27" borderId="0" xfId="202" applyNumberFormat="1" applyFont="1" applyFill="1" applyBorder="1" applyAlignment="1">
      <alignment horizontal="center"/>
    </xf>
    <xf numFmtId="1" fontId="8" fillId="27" borderId="0" xfId="198" applyNumberFormat="1" applyFont="1" applyFill="1" applyBorder="1" applyAlignment="1">
      <alignment horizontal="center"/>
    </xf>
    <xf numFmtId="173" fontId="8" fillId="0" borderId="0" xfId="198" applyNumberFormat="1" applyFont="1" applyFill="1"/>
    <xf numFmtId="0" fontId="8" fillId="0" borderId="2" xfId="791" applyFont="1" applyBorder="1"/>
    <xf numFmtId="3" fontId="58" fillId="0" borderId="0" xfId="760" applyNumberFormat="1" applyFont="1"/>
    <xf numFmtId="3" fontId="58" fillId="0" borderId="0" xfId="760" applyNumberFormat="1" applyFont="1" applyAlignment="1">
      <alignment horizontal="center" vertical="top" wrapText="1"/>
    </xf>
    <xf numFmtId="3" fontId="58" fillId="0" borderId="0" xfId="760" applyNumberFormat="1" applyFont="1" applyAlignment="1">
      <alignment wrapText="1"/>
    </xf>
    <xf numFmtId="3" fontId="58" fillId="0" borderId="0" xfId="760" applyNumberFormat="1" applyFont="1" applyAlignment="1">
      <alignment horizontal="left" vertical="top" wrapText="1"/>
    </xf>
    <xf numFmtId="0" fontId="11" fillId="0" borderId="0" xfId="799" applyFont="1"/>
    <xf numFmtId="0" fontId="8" fillId="0" borderId="0" xfId="799"/>
    <xf numFmtId="0" fontId="11" fillId="0" borderId="0" xfId="799" applyFont="1" applyAlignment="1">
      <alignment horizontal="center"/>
    </xf>
    <xf numFmtId="0" fontId="11" fillId="0" borderId="0" xfId="1172" applyFont="1" applyAlignment="1">
      <alignment horizontal="center"/>
    </xf>
    <xf numFmtId="3" fontId="12" fillId="0" borderId="0" xfId="799" applyNumberFormat="1" applyFont="1" applyAlignment="1">
      <alignment horizontal="center"/>
    </xf>
    <xf numFmtId="0" fontId="12" fillId="0" borderId="0" xfId="799" applyFont="1" applyAlignment="1">
      <alignment horizontal="center"/>
    </xf>
    <xf numFmtId="0" fontId="12" fillId="0" borderId="0" xfId="799" applyFont="1"/>
    <xf numFmtId="0" fontId="11" fillId="0" borderId="0" xfId="799" applyFont="1" applyAlignment="1">
      <alignment horizontal="right"/>
    </xf>
    <xf numFmtId="0" fontId="18" fillId="0" borderId="0" xfId="799" applyFont="1" applyAlignment="1">
      <alignment horizontal="center" wrapText="1"/>
    </xf>
    <xf numFmtId="0" fontId="18" fillId="0" borderId="0" xfId="799" applyFont="1" applyAlignment="1">
      <alignment horizontal="center"/>
    </xf>
    <xf numFmtId="10" fontId="11" fillId="0" borderId="0" xfId="799" applyNumberFormat="1" applyFont="1" applyAlignment="1">
      <alignment horizontal="center"/>
    </xf>
    <xf numFmtId="198" fontId="11" fillId="0" borderId="0" xfId="799" applyNumberFormat="1" applyFont="1" applyAlignment="1">
      <alignment horizontal="center"/>
    </xf>
    <xf numFmtId="10" fontId="11" fillId="0" borderId="0" xfId="799" applyNumberFormat="1" applyFont="1"/>
    <xf numFmtId="2" fontId="11" fillId="0" borderId="0" xfId="799" applyNumberFormat="1" applyFont="1" applyAlignment="1">
      <alignment horizontal="center"/>
    </xf>
    <xf numFmtId="0" fontId="84" fillId="0" borderId="0" xfId="0" applyFont="1" applyAlignment="1">
      <alignment vertical="center"/>
    </xf>
    <xf numFmtId="0" fontId="12" fillId="0" borderId="0" xfId="0" applyFont="1" applyProtection="1">
      <protection locked="0"/>
    </xf>
    <xf numFmtId="0" fontId="8" fillId="0" borderId="0" xfId="0" applyFont="1" applyProtection="1">
      <protection locked="0"/>
    </xf>
    <xf numFmtId="0" fontId="196" fillId="0" borderId="0" xfId="0" applyFont="1" applyProtection="1">
      <protection locked="0"/>
    </xf>
    <xf numFmtId="0" fontId="196" fillId="0" borderId="38" xfId="0" applyFont="1" applyBorder="1" applyAlignment="1" applyProtection="1">
      <alignment horizontal="center" wrapText="1"/>
      <protection locked="0"/>
    </xf>
    <xf numFmtId="0" fontId="196" fillId="0" borderId="0" xfId="0" applyFont="1" applyAlignment="1" applyProtection="1">
      <alignment horizontal="center" wrapText="1"/>
      <protection locked="0"/>
    </xf>
    <xf numFmtId="0" fontId="11" fillId="0" borderId="0" xfId="0" applyFont="1" applyProtection="1">
      <protection locked="0"/>
    </xf>
    <xf numFmtId="0" fontId="196" fillId="0" borderId="0" xfId="0" applyFont="1" applyAlignment="1" applyProtection="1">
      <alignment horizontal="right"/>
      <protection locked="0"/>
    </xf>
    <xf numFmtId="0" fontId="196" fillId="0" borderId="28" xfId="0" applyFont="1" applyBorder="1" applyAlignment="1" applyProtection="1">
      <alignment horizontal="center" wrapText="1"/>
      <protection locked="0"/>
    </xf>
    <xf numFmtId="0" fontId="196" fillId="0" borderId="28" xfId="0" applyFont="1" applyBorder="1" applyProtection="1">
      <protection locked="0"/>
    </xf>
    <xf numFmtId="170" fontId="196" fillId="0" borderId="0" xfId="0" applyNumberFormat="1" applyFont="1" applyAlignment="1" applyProtection="1">
      <alignment horizontal="right"/>
      <protection locked="0"/>
    </xf>
    <xf numFmtId="170" fontId="196" fillId="0" borderId="0" xfId="0" applyNumberFormat="1" applyFont="1" applyProtection="1">
      <protection locked="0"/>
    </xf>
    <xf numFmtId="0" fontId="8" fillId="0" borderId="0" xfId="0" applyFont="1" applyAlignment="1">
      <alignment horizontal="center"/>
    </xf>
    <xf numFmtId="170" fontId="11" fillId="0" borderId="0" xfId="0" applyNumberFormat="1" applyFont="1" applyProtection="1">
      <protection locked="0"/>
    </xf>
    <xf numFmtId="173" fontId="196" fillId="0" borderId="0" xfId="0" applyNumberFormat="1" applyFont="1" applyProtection="1">
      <protection locked="0"/>
    </xf>
    <xf numFmtId="0" fontId="196" fillId="0" borderId="0" xfId="0" applyFont="1" applyAlignment="1" applyProtection="1">
      <alignment horizontal="center"/>
      <protection locked="0"/>
    </xf>
    <xf numFmtId="173" fontId="196" fillId="0" borderId="6" xfId="0" applyNumberFormat="1" applyFont="1" applyBorder="1" applyProtection="1">
      <protection locked="0"/>
    </xf>
    <xf numFmtId="0" fontId="196" fillId="0" borderId="6" xfId="0" applyFont="1" applyBorder="1" applyAlignment="1" applyProtection="1">
      <alignment horizontal="center"/>
      <protection locked="0"/>
    </xf>
    <xf numFmtId="0" fontId="11" fillId="0" borderId="6" xfId="0" applyFont="1" applyBorder="1" applyProtection="1">
      <protection locked="0"/>
    </xf>
    <xf numFmtId="173" fontId="196" fillId="0" borderId="0" xfId="0" applyNumberFormat="1" applyFont="1" applyAlignment="1" applyProtection="1">
      <alignment horizontal="left"/>
      <protection locked="0"/>
    </xf>
    <xf numFmtId="0" fontId="85" fillId="0" borderId="0" xfId="0" applyFont="1" applyAlignment="1" applyProtection="1">
      <alignment horizontal="center" wrapText="1"/>
      <protection locked="0"/>
    </xf>
    <xf numFmtId="173" fontId="85" fillId="0" borderId="0" xfId="0" applyNumberFormat="1" applyFont="1" applyAlignment="1" applyProtection="1">
      <alignment horizontal="center" wrapText="1"/>
      <protection locked="0"/>
    </xf>
    <xf numFmtId="0" fontId="85" fillId="0" borderId="0" xfId="0" applyFont="1" applyAlignment="1" applyProtection="1">
      <alignment horizontal="center"/>
      <protection locked="0"/>
    </xf>
    <xf numFmtId="173" fontId="85" fillId="0" borderId="0" xfId="0" applyNumberFormat="1" applyFont="1" applyAlignment="1" applyProtection="1">
      <alignment horizontal="center"/>
      <protection locked="0"/>
    </xf>
    <xf numFmtId="0" fontId="85" fillId="0" borderId="0" xfId="0" applyFont="1" applyAlignment="1" applyProtection="1">
      <alignment horizontal="left"/>
      <protection locked="0"/>
    </xf>
    <xf numFmtId="175" fontId="196" fillId="0" borderId="0" xfId="912" applyNumberFormat="1" applyFont="1" applyFill="1" applyProtection="1">
      <protection locked="0"/>
    </xf>
    <xf numFmtId="0" fontId="197" fillId="0" borderId="0" xfId="0" applyFont="1" applyAlignment="1" applyProtection="1">
      <alignment horizontal="left"/>
      <protection locked="0"/>
    </xf>
    <xf numFmtId="0" fontId="198" fillId="0" borderId="0" xfId="0" applyFont="1" applyAlignment="1" applyProtection="1">
      <alignment horizontal="left"/>
      <protection locked="0"/>
    </xf>
    <xf numFmtId="14" fontId="196" fillId="0" borderId="0" xfId="0" applyNumberFormat="1" applyFont="1" applyAlignment="1" applyProtection="1">
      <alignment horizontal="left"/>
      <protection locked="0"/>
    </xf>
    <xf numFmtId="173" fontId="196" fillId="0" borderId="0" xfId="202" applyNumberFormat="1" applyFont="1" applyFill="1" applyProtection="1">
      <protection locked="0"/>
    </xf>
    <xf numFmtId="173" fontId="196" fillId="0" borderId="0" xfId="275" applyNumberFormat="1" applyFont="1" applyFill="1" applyProtection="1">
      <protection locked="0"/>
    </xf>
    <xf numFmtId="173" fontId="196" fillId="0" borderId="0" xfId="202" applyNumberFormat="1" applyFont="1" applyFill="1" applyBorder="1" applyProtection="1">
      <protection locked="0"/>
    </xf>
    <xf numFmtId="173" fontId="85" fillId="0" borderId="0" xfId="202" applyNumberFormat="1" applyFont="1" applyFill="1" applyProtection="1">
      <protection locked="0"/>
    </xf>
    <xf numFmtId="14" fontId="196" fillId="0" borderId="6" xfId="0" applyNumberFormat="1" applyFont="1" applyBorder="1" applyAlignment="1" applyProtection="1">
      <alignment horizontal="left"/>
      <protection locked="0"/>
    </xf>
    <xf numFmtId="0" fontId="196" fillId="0" borderId="6" xfId="0" applyFont="1" applyBorder="1" applyProtection="1">
      <protection locked="0"/>
    </xf>
    <xf numFmtId="0" fontId="196" fillId="0" borderId="2" xfId="0" applyFont="1" applyBorder="1" applyProtection="1">
      <protection locked="0"/>
    </xf>
    <xf numFmtId="0" fontId="196" fillId="0" borderId="11" xfId="0" applyFont="1" applyBorder="1" applyProtection="1">
      <protection locked="0"/>
    </xf>
    <xf numFmtId="0" fontId="196" fillId="0" borderId="0" xfId="0" applyFont="1" applyAlignment="1" applyProtection="1">
      <alignment wrapText="1"/>
      <protection locked="0"/>
    </xf>
    <xf numFmtId="10" fontId="8" fillId="0" borderId="0" xfId="900" applyNumberFormat="1" applyFont="1"/>
    <xf numFmtId="0" fontId="11" fillId="0" borderId="0" xfId="862" applyFont="1"/>
    <xf numFmtId="0" fontId="19" fillId="0" borderId="0" xfId="862" applyFont="1"/>
    <xf numFmtId="174" fontId="19" fillId="0" borderId="0" xfId="862" applyNumberFormat="1" applyFont="1"/>
    <xf numFmtId="1" fontId="19" fillId="0" borderId="0" xfId="862" applyNumberFormat="1" applyFont="1" applyAlignment="1">
      <alignment horizontal="left"/>
    </xf>
    <xf numFmtId="0" fontId="19" fillId="0" borderId="0" xfId="862" quotePrefix="1" applyFont="1" applyAlignment="1">
      <alignment horizontal="left"/>
    </xf>
    <xf numFmtId="1" fontId="19" fillId="0" borderId="0" xfId="862" applyNumberFormat="1" applyFont="1" applyAlignment="1">
      <alignment horizontal="center"/>
    </xf>
    <xf numFmtId="43" fontId="19" fillId="0" borderId="0" xfId="862" applyNumberFormat="1" applyFont="1"/>
    <xf numFmtId="10" fontId="19" fillId="0" borderId="0" xfId="862" applyNumberFormat="1" applyFont="1"/>
    <xf numFmtId="0" fontId="200" fillId="0" borderId="0" xfId="862" applyFont="1"/>
    <xf numFmtId="0" fontId="19" fillId="0" borderId="0" xfId="862" applyFont="1" applyAlignment="1">
      <alignment horizontal="left"/>
    </xf>
    <xf numFmtId="164" fontId="19" fillId="0" borderId="0" xfId="862" applyNumberFormat="1" applyFont="1"/>
    <xf numFmtId="0" fontId="21" fillId="0" borderId="0" xfId="791" quotePrefix="1" applyFont="1" applyAlignment="1">
      <alignment horizontal="center"/>
    </xf>
    <xf numFmtId="0" fontId="21" fillId="0" borderId="0" xfId="879" applyFont="1" applyAlignment="1">
      <alignment horizontal="center"/>
    </xf>
    <xf numFmtId="14" fontId="8" fillId="0" borderId="0" xfId="791" applyNumberFormat="1" applyFont="1" applyAlignment="1">
      <alignment horizontal="center" wrapText="1"/>
    </xf>
    <xf numFmtId="0" fontId="8" fillId="0" borderId="0" xfId="791" applyFont="1" applyAlignment="1">
      <alignment horizontal="center" wrapText="1"/>
    </xf>
    <xf numFmtId="173" fontId="8" fillId="27" borderId="0" xfId="0" applyNumberFormat="1" applyFont="1" applyFill="1"/>
    <xf numFmtId="0" fontId="8" fillId="27" borderId="0" xfId="198" quotePrefix="1" applyNumberFormat="1" applyFont="1" applyFill="1" applyBorder="1" applyAlignment="1">
      <alignment horizontal="center"/>
    </xf>
    <xf numFmtId="3" fontId="8" fillId="0" borderId="0" xfId="0" applyNumberFormat="1" applyFont="1"/>
    <xf numFmtId="173" fontId="8" fillId="0" borderId="2" xfId="791" applyNumberFormat="1" applyFont="1" applyBorder="1"/>
    <xf numFmtId="1" fontId="88" fillId="27" borderId="0" xfId="198" applyNumberFormat="1" applyFont="1" applyFill="1" applyBorder="1" applyAlignment="1">
      <alignment horizontal="center"/>
    </xf>
    <xf numFmtId="1" fontId="8" fillId="27" borderId="38" xfId="198" applyNumberFormat="1" applyFont="1" applyFill="1" applyBorder="1" applyAlignment="1">
      <alignment horizontal="center" wrapText="1"/>
    </xf>
    <xf numFmtId="10" fontId="88" fillId="27" borderId="0" xfId="899" applyNumberFormat="1" applyFont="1" applyFill="1" applyBorder="1" applyAlignment="1">
      <alignment horizontal="right"/>
    </xf>
    <xf numFmtId="0" fontId="11" fillId="0" borderId="0" xfId="1528" applyFont="1"/>
    <xf numFmtId="43" fontId="8" fillId="0" borderId="0" xfId="198" applyFont="1" applyFill="1" applyBorder="1"/>
    <xf numFmtId="10" fontId="8" fillId="0" borderId="70" xfId="1172" applyNumberFormat="1" applyBorder="1"/>
    <xf numFmtId="200" fontId="8" fillId="0" borderId="70" xfId="1172" applyNumberFormat="1" applyBorder="1"/>
    <xf numFmtId="175" fontId="8" fillId="0" borderId="70" xfId="1172" applyNumberFormat="1" applyBorder="1"/>
    <xf numFmtId="175" fontId="8" fillId="0" borderId="70" xfId="1172" applyNumberFormat="1" applyBorder="1" applyAlignment="1">
      <alignment horizontal="center"/>
    </xf>
    <xf numFmtId="10" fontId="8" fillId="0" borderId="0" xfId="1172" applyNumberFormat="1"/>
    <xf numFmtId="200" fontId="8" fillId="0" borderId="0" xfId="1172" applyNumberFormat="1"/>
    <xf numFmtId="175" fontId="8" fillId="0" borderId="0" xfId="1172" applyNumberFormat="1"/>
    <xf numFmtId="175" fontId="8" fillId="0" borderId="0" xfId="1172" applyNumberFormat="1" applyAlignment="1">
      <alignment horizontal="center"/>
    </xf>
    <xf numFmtId="198" fontId="8" fillId="0" borderId="0" xfId="1172" applyNumberFormat="1" applyAlignment="1">
      <alignment horizontal="right" indent="1"/>
    </xf>
    <xf numFmtId="201" fontId="8" fillId="0" borderId="0" xfId="1172" applyNumberFormat="1"/>
    <xf numFmtId="10" fontId="8" fillId="0" borderId="0" xfId="1172" applyNumberFormat="1" applyAlignment="1">
      <alignment horizontal="right" indent="2"/>
    </xf>
    <xf numFmtId="10" fontId="8" fillId="0" borderId="69" xfId="1172" applyNumberFormat="1" applyBorder="1"/>
    <xf numFmtId="200" fontId="8" fillId="0" borderId="69" xfId="1172" applyNumberFormat="1" applyBorder="1"/>
    <xf numFmtId="175" fontId="8" fillId="0" borderId="69" xfId="1172" applyNumberFormat="1" applyBorder="1"/>
    <xf numFmtId="175" fontId="8" fillId="0" borderId="69" xfId="1172" applyNumberFormat="1" applyBorder="1" applyAlignment="1">
      <alignment horizontal="center"/>
    </xf>
    <xf numFmtId="0" fontId="8" fillId="0" borderId="0" xfId="0" applyFont="1" applyAlignment="1">
      <alignment horizontal="center" vertical="center"/>
    </xf>
    <xf numFmtId="3" fontId="11" fillId="0" borderId="0" xfId="0" quotePrefix="1" applyNumberFormat="1" applyFont="1" applyAlignment="1">
      <alignment horizontal="center"/>
    </xf>
    <xf numFmtId="3" fontId="10" fillId="0" borderId="0" xfId="0" quotePrefix="1" applyNumberFormat="1" applyFont="1" applyAlignment="1">
      <alignment horizontal="center"/>
    </xf>
    <xf numFmtId="0" fontId="210" fillId="0" borderId="0" xfId="0" applyFont="1" applyAlignment="1">
      <alignment horizontal="center" vertical="center"/>
    </xf>
    <xf numFmtId="0" fontId="0" fillId="0" borderId="43" xfId="0" applyBorder="1" applyAlignment="1">
      <alignment horizontal="center"/>
    </xf>
    <xf numFmtId="0" fontId="0" fillId="0" borderId="17" xfId="0" applyBorder="1" applyAlignment="1">
      <alignment horizontal="center"/>
    </xf>
    <xf numFmtId="0" fontId="13" fillId="0" borderId="40" xfId="0" applyFont="1" applyBorder="1" applyAlignment="1">
      <alignment horizontal="centerContinuous"/>
    </xf>
    <xf numFmtId="0" fontId="21" fillId="0" borderId="40" xfId="0" applyFont="1" applyBorder="1" applyAlignment="1">
      <alignment horizontal="centerContinuous"/>
    </xf>
    <xf numFmtId="0" fontId="21" fillId="0" borderId="17" xfId="0" applyFont="1" applyBorder="1" applyAlignment="1">
      <alignment horizontal="centerContinuous"/>
    </xf>
    <xf numFmtId="0" fontId="138" fillId="0" borderId="17" xfId="0" applyFont="1" applyBorder="1"/>
    <xf numFmtId="0" fontId="0" fillId="0" borderId="17" xfId="0" applyBorder="1"/>
    <xf numFmtId="0" fontId="0" fillId="0" borderId="21" xfId="0" applyBorder="1" applyAlignment="1">
      <alignment horizontal="center"/>
    </xf>
    <xf numFmtId="0" fontId="21" fillId="0" borderId="35" xfId="0" quotePrefix="1" applyFont="1" applyBorder="1" applyAlignment="1">
      <alignment horizontal="center" wrapText="1"/>
    </xf>
    <xf numFmtId="0" fontId="21" fillId="0" borderId="36" xfId="0" quotePrefix="1" applyFont="1" applyBorder="1" applyAlignment="1">
      <alignment horizontal="center" wrapText="1"/>
    </xf>
    <xf numFmtId="0" fontId="0" fillId="0" borderId="36" xfId="0" applyBorder="1"/>
    <xf numFmtId="0" fontId="21" fillId="0" borderId="37" xfId="0" applyFont="1" applyBorder="1" applyAlignment="1">
      <alignment horizontal="center" wrapText="1"/>
    </xf>
    <xf numFmtId="0" fontId="0" fillId="0" borderId="54" xfId="0" applyBorder="1" applyAlignment="1">
      <alignment wrapText="1"/>
    </xf>
    <xf numFmtId="0" fontId="0" fillId="0" borderId="19" xfId="0" applyBorder="1"/>
    <xf numFmtId="0" fontId="0" fillId="0" borderId="19" xfId="0" quotePrefix="1" applyBorder="1" applyAlignment="1">
      <alignment horizontal="center" vertical="center"/>
    </xf>
    <xf numFmtId="0" fontId="0" fillId="0" borderId="0" xfId="0" applyAlignment="1">
      <alignment vertical="center" wrapText="1"/>
    </xf>
    <xf numFmtId="0" fontId="8" fillId="0" borderId="19" xfId="0" quotePrefix="1" applyFont="1" applyBorder="1" applyAlignment="1">
      <alignment horizontal="center" vertical="center"/>
    </xf>
    <xf numFmtId="0" fontId="0" fillId="0" borderId="19" xfId="0" applyBorder="1" applyAlignment="1">
      <alignment vertical="center"/>
    </xf>
    <xf numFmtId="0" fontId="0" fillId="0" borderId="34" xfId="0" applyBorder="1" applyAlignment="1">
      <alignment vertical="center"/>
    </xf>
    <xf numFmtId="0" fontId="0" fillId="0" borderId="6" xfId="0" applyBorder="1" applyAlignment="1">
      <alignment vertical="center"/>
    </xf>
    <xf numFmtId="0" fontId="0" fillId="0" borderId="6" xfId="0" quotePrefix="1" applyBorder="1" applyAlignment="1">
      <alignment horizontal="center" vertical="center"/>
    </xf>
    <xf numFmtId="0" fontId="0" fillId="0" borderId="6" xfId="0" applyBorder="1" applyAlignment="1">
      <alignment horizontal="center" vertical="center"/>
    </xf>
    <xf numFmtId="0" fontId="8" fillId="0" borderId="0" xfId="0" applyFont="1" applyAlignment="1">
      <alignment vertical="center"/>
    </xf>
    <xf numFmtId="173" fontId="210" fillId="0" borderId="0" xfId="1537" applyNumberFormat="1" applyAlignment="1">
      <alignment vertical="center"/>
    </xf>
    <xf numFmtId="43" fontId="210" fillId="0" borderId="0" xfId="1537" applyAlignment="1">
      <alignment vertical="center"/>
    </xf>
    <xf numFmtId="0" fontId="0" fillId="0" borderId="0" xfId="0" quotePrefix="1" applyAlignment="1">
      <alignment horizontal="left" vertical="center"/>
    </xf>
    <xf numFmtId="173" fontId="88" fillId="0" borderId="0" xfId="0" applyNumberFormat="1" applyFont="1" applyAlignment="1">
      <alignment vertical="center"/>
    </xf>
    <xf numFmtId="173" fontId="88" fillId="0" borderId="0" xfId="1537" applyNumberFormat="1" applyFont="1" applyFill="1" applyAlignment="1">
      <alignment vertical="center"/>
    </xf>
    <xf numFmtId="197" fontId="210" fillId="0" borderId="0" xfId="1537" applyNumberFormat="1" applyAlignment="1">
      <alignment vertical="center"/>
    </xf>
    <xf numFmtId="173" fontId="210" fillId="0" borderId="0" xfId="1537" applyNumberFormat="1"/>
    <xf numFmtId="3" fontId="23" fillId="27" borderId="0" xfId="0" quotePrefix="1" applyNumberFormat="1" applyFont="1" applyFill="1" applyAlignment="1">
      <alignment vertical="top"/>
    </xf>
    <xf numFmtId="3" fontId="23" fillId="27" borderId="0" xfId="311" applyNumberFormat="1" applyFont="1" applyFill="1" applyBorder="1" applyAlignment="1">
      <alignment horizontal="left"/>
    </xf>
    <xf numFmtId="3" fontId="23" fillId="27" borderId="0" xfId="311" applyNumberFormat="1" applyFont="1" applyFill="1" applyBorder="1"/>
    <xf numFmtId="0" fontId="64" fillId="61" borderId="0" xfId="882" applyFont="1" applyFill="1"/>
    <xf numFmtId="173" fontId="90" fillId="61" borderId="0" xfId="311" applyNumberFormat="1" applyFont="1" applyFill="1" applyBorder="1"/>
    <xf numFmtId="173" fontId="212" fillId="27" borderId="0" xfId="311" applyNumberFormat="1" applyFont="1" applyFill="1" applyBorder="1"/>
    <xf numFmtId="173" fontId="211" fillId="27" borderId="0" xfId="882" applyNumberFormat="1" applyFont="1" applyFill="1" applyAlignment="1">
      <alignment vertical="center"/>
    </xf>
    <xf numFmtId="43" fontId="8" fillId="0" borderId="0" xfId="1178" applyNumberFormat="1"/>
    <xf numFmtId="43" fontId="8" fillId="27" borderId="0" xfId="202" applyFont="1" applyFill="1" applyBorder="1" applyAlignment="1">
      <alignment horizontal="center" wrapText="1"/>
    </xf>
    <xf numFmtId="0" fontId="8" fillId="0" borderId="0" xfId="0" applyFont="1" applyAlignment="1">
      <alignment horizontal="left" vertical="center"/>
    </xf>
    <xf numFmtId="173" fontId="8" fillId="0" borderId="0" xfId="198" applyNumberFormat="1" applyAlignment="1">
      <alignment vertical="center"/>
    </xf>
    <xf numFmtId="0" fontId="8" fillId="0" borderId="0" xfId="0" quotePrefix="1" applyFont="1" applyAlignment="1">
      <alignment horizontal="center" vertical="center"/>
    </xf>
    <xf numFmtId="173" fontId="0" fillId="0" borderId="0" xfId="0" applyNumberFormat="1"/>
    <xf numFmtId="2" fontId="16" fillId="0" borderId="0" xfId="0" applyNumberFormat="1" applyFont="1"/>
    <xf numFmtId="2" fontId="8" fillId="0" borderId="0" xfId="0" applyNumberFormat="1" applyFont="1"/>
    <xf numFmtId="173" fontId="16" fillId="0" borderId="0" xfId="198" applyNumberFormat="1" applyFont="1"/>
    <xf numFmtId="10" fontId="11" fillId="0" borderId="0" xfId="899" applyNumberFormat="1" applyFont="1" applyFill="1" applyAlignment="1"/>
    <xf numFmtId="173" fontId="11" fillId="0" borderId="0" xfId="202" applyNumberFormat="1" applyFont="1" applyFill="1" applyProtection="1">
      <protection locked="0"/>
    </xf>
    <xf numFmtId="0" fontId="11" fillId="0" borderId="2" xfId="0" applyFont="1" applyBorder="1" applyProtection="1">
      <protection locked="0"/>
    </xf>
    <xf numFmtId="0" fontId="8" fillId="0" borderId="2" xfId="0" applyFont="1" applyBorder="1" applyProtection="1">
      <protection locked="0"/>
    </xf>
    <xf numFmtId="173" fontId="11" fillId="0" borderId="2" xfId="202" applyNumberFormat="1" applyFont="1" applyFill="1" applyBorder="1" applyProtection="1">
      <protection locked="0"/>
    </xf>
    <xf numFmtId="173" fontId="11" fillId="0" borderId="0" xfId="202" applyNumberFormat="1" applyFont="1" applyFill="1" applyBorder="1" applyProtection="1">
      <protection locked="0"/>
    </xf>
    <xf numFmtId="0" fontId="11" fillId="0" borderId="11" xfId="0" applyFont="1" applyBorder="1" applyProtection="1">
      <protection locked="0"/>
    </xf>
    <xf numFmtId="0" fontId="8" fillId="0" borderId="11" xfId="0" applyFont="1" applyBorder="1" applyProtection="1">
      <protection locked="0"/>
    </xf>
    <xf numFmtId="173" fontId="11" fillId="0" borderId="11" xfId="202" applyNumberFormat="1" applyFont="1" applyFill="1" applyBorder="1" applyProtection="1">
      <protection locked="0"/>
    </xf>
    <xf numFmtId="173" fontId="196" fillId="0" borderId="0" xfId="202" applyNumberFormat="1" applyFont="1" applyFill="1" applyProtection="1"/>
    <xf numFmtId="173" fontId="196" fillId="0" borderId="0" xfId="275" applyNumberFormat="1" applyFont="1" applyFill="1" applyProtection="1"/>
    <xf numFmtId="164" fontId="196" fillId="0" borderId="0" xfId="0" applyNumberFormat="1" applyFont="1" applyAlignment="1">
      <alignment horizontal="center"/>
    </xf>
    <xf numFmtId="0" fontId="196" fillId="0" borderId="0" xfId="0" applyFont="1"/>
    <xf numFmtId="173" fontId="196" fillId="0" borderId="6" xfId="202" applyNumberFormat="1" applyFont="1" applyFill="1" applyBorder="1" applyProtection="1"/>
    <xf numFmtId="173" fontId="196" fillId="0" borderId="6" xfId="275" applyNumberFormat="1" applyFont="1" applyFill="1" applyBorder="1" applyProtection="1"/>
    <xf numFmtId="164" fontId="196" fillId="0" borderId="6" xfId="0" applyNumberFormat="1" applyFont="1" applyBorder="1" applyAlignment="1">
      <alignment horizontal="center"/>
    </xf>
    <xf numFmtId="0" fontId="196" fillId="0" borderId="6" xfId="0" applyFont="1" applyBorder="1"/>
    <xf numFmtId="173" fontId="196" fillId="0" borderId="2" xfId="202" applyNumberFormat="1" applyFont="1" applyFill="1" applyBorder="1" applyProtection="1"/>
    <xf numFmtId="173" fontId="196" fillId="0" borderId="0" xfId="202" applyNumberFormat="1" applyFont="1" applyFill="1" applyBorder="1" applyProtection="1"/>
    <xf numFmtId="173" fontId="196" fillId="0" borderId="11" xfId="202" applyNumberFormat="1" applyFont="1" applyFill="1" applyBorder="1" applyProtection="1"/>
    <xf numFmtId="170" fontId="8" fillId="27" borderId="39" xfId="198" applyNumberFormat="1" applyFont="1" applyFill="1" applyBorder="1" applyAlignment="1" applyProtection="1">
      <alignment horizontal="center" wrapText="1"/>
    </xf>
    <xf numFmtId="170" fontId="85" fillId="0" borderId="0" xfId="0" applyNumberFormat="1" applyFont="1" applyAlignment="1">
      <alignment horizontal="center"/>
    </xf>
    <xf numFmtId="0" fontId="85" fillId="0" borderId="0" xfId="0" quotePrefix="1" applyFont="1" applyAlignment="1">
      <alignment horizontal="center"/>
    </xf>
    <xf numFmtId="5" fontId="196" fillId="0" borderId="39" xfId="0" applyNumberFormat="1" applyFont="1" applyBorder="1" applyAlignment="1">
      <alignment horizontal="center"/>
    </xf>
    <xf numFmtId="173" fontId="11" fillId="0" borderId="0" xfId="275" applyNumberFormat="1" applyFont="1" applyFill="1" applyAlignment="1" applyProtection="1"/>
    <xf numFmtId="0" fontId="11" fillId="0" borderId="0" xfId="881" applyNumberFormat="1" applyFont="1" applyProtection="1"/>
    <xf numFmtId="170" fontId="11" fillId="0" borderId="0" xfId="881" applyNumberFormat="1" applyFont="1" applyProtection="1"/>
    <xf numFmtId="172" fontId="11" fillId="0" borderId="0" xfId="881" applyFont="1" applyProtection="1"/>
    <xf numFmtId="170" fontId="11" fillId="0" borderId="2" xfId="881" applyNumberFormat="1" applyFont="1" applyBorder="1" applyProtection="1"/>
    <xf numFmtId="164" fontId="33" fillId="0" borderId="0" xfId="912" applyNumberFormat="1" applyFont="1" applyFill="1" applyAlignment="1" applyProtection="1">
      <alignment horizontal="center"/>
    </xf>
    <xf numFmtId="173" fontId="11" fillId="0" borderId="11" xfId="275" applyNumberFormat="1" applyFont="1" applyFill="1" applyBorder="1" applyAlignment="1" applyProtection="1"/>
    <xf numFmtId="173" fontId="11" fillId="0" borderId="0" xfId="275" applyNumberFormat="1" applyFont="1" applyFill="1" applyBorder="1" applyAlignment="1" applyProtection="1"/>
    <xf numFmtId="173" fontId="12" fillId="0" borderId="36" xfId="275" applyNumberFormat="1" applyFont="1" applyFill="1" applyBorder="1" applyAlignment="1" applyProtection="1"/>
    <xf numFmtId="172" fontId="12" fillId="0" borderId="36" xfId="881" applyFont="1" applyBorder="1" applyProtection="1"/>
    <xf numFmtId="173" fontId="12" fillId="0" borderId="0" xfId="275" applyNumberFormat="1" applyFont="1" applyFill="1" applyBorder="1" applyAlignment="1" applyProtection="1"/>
    <xf numFmtId="172" fontId="12" fillId="0" borderId="0" xfId="881" applyFont="1" applyProtection="1"/>
    <xf numFmtId="43" fontId="12" fillId="0" borderId="0" xfId="275" applyFont="1" applyFill="1" applyBorder="1" applyAlignment="1" applyProtection="1"/>
    <xf numFmtId="170" fontId="11" fillId="0" borderId="11" xfId="881" applyNumberFormat="1" applyFont="1" applyBorder="1" applyProtection="1"/>
    <xf numFmtId="170" fontId="11" fillId="0" borderId="36" xfId="881" applyNumberFormat="1" applyFont="1" applyBorder="1" applyProtection="1"/>
    <xf numFmtId="0" fontId="11" fillId="0" borderId="36" xfId="881" applyNumberFormat="1" applyFont="1" applyBorder="1" applyProtection="1"/>
    <xf numFmtId="0" fontId="16" fillId="0" borderId="36" xfId="775" applyBorder="1"/>
    <xf numFmtId="170" fontId="11" fillId="0" borderId="37" xfId="881" applyNumberFormat="1" applyFont="1" applyBorder="1" applyProtection="1"/>
    <xf numFmtId="43" fontId="11" fillId="0" borderId="0" xfId="275" applyFont="1" applyFill="1" applyAlignment="1" applyProtection="1"/>
    <xf numFmtId="172" fontId="81" fillId="0" borderId="0" xfId="881" applyFont="1" applyProtection="1"/>
    <xf numFmtId="0" fontId="13" fillId="0" borderId="0" xfId="0" applyFont="1" applyProtection="1">
      <protection locked="0"/>
    </xf>
    <xf numFmtId="0" fontId="0" fillId="0" borderId="0" xfId="0" applyProtection="1">
      <protection locked="0"/>
    </xf>
    <xf numFmtId="0" fontId="13" fillId="0" borderId="20" xfId="0" applyFont="1" applyBorder="1" applyProtection="1">
      <protection locked="0"/>
    </xf>
    <xf numFmtId="0" fontId="0" fillId="0" borderId="28" xfId="0" applyBorder="1" applyProtection="1">
      <protection locked="0"/>
    </xf>
    <xf numFmtId="173" fontId="8" fillId="0" borderId="0" xfId="198" applyNumberFormat="1" applyProtection="1">
      <protection locked="0"/>
    </xf>
    <xf numFmtId="0" fontId="0" fillId="0" borderId="0" xfId="0" quotePrefix="1" applyAlignment="1" applyProtection="1">
      <alignment horizontal="left"/>
      <protection locked="0"/>
    </xf>
    <xf numFmtId="173" fontId="215" fillId="0" borderId="0" xfId="198" applyNumberFormat="1" applyFont="1" applyFill="1" applyAlignment="1" applyProtection="1">
      <alignment vertical="center"/>
    </xf>
    <xf numFmtId="173" fontId="8" fillId="0" borderId="0" xfId="198" applyNumberFormat="1" applyFill="1" applyAlignment="1" applyProtection="1">
      <alignment vertical="center"/>
    </xf>
    <xf numFmtId="173" fontId="88" fillId="27" borderId="0" xfId="198" applyNumberFormat="1" applyFont="1" applyFill="1" applyAlignment="1" applyProtection="1">
      <alignment vertical="center"/>
    </xf>
    <xf numFmtId="173" fontId="210" fillId="0" borderId="0" xfId="1537" applyNumberFormat="1" applyFont="1" applyFill="1" applyBorder="1" applyAlignment="1" applyProtection="1">
      <alignment vertical="center"/>
    </xf>
    <xf numFmtId="173" fontId="210" fillId="0" borderId="0" xfId="1537" applyNumberFormat="1" applyFill="1" applyBorder="1" applyAlignment="1" applyProtection="1">
      <alignment vertical="center"/>
    </xf>
    <xf numFmtId="173" fontId="8" fillId="0" borderId="0" xfId="198" applyNumberFormat="1" applyAlignment="1" applyProtection="1">
      <alignment vertical="center"/>
    </xf>
    <xf numFmtId="173" fontId="13" fillId="0" borderId="0" xfId="198" applyNumberFormat="1" applyFont="1" applyAlignment="1" applyProtection="1">
      <alignment horizontal="center" vertical="center"/>
    </xf>
    <xf numFmtId="173" fontId="0" fillId="0" borderId="28" xfId="0" applyNumberFormat="1" applyBorder="1" applyAlignment="1">
      <alignment vertical="center"/>
    </xf>
    <xf numFmtId="173" fontId="13" fillId="0" borderId="0" xfId="198" applyNumberFormat="1" applyFont="1" applyAlignment="1" applyProtection="1">
      <alignment vertical="center"/>
    </xf>
    <xf numFmtId="173" fontId="8" fillId="0" borderId="0" xfId="198" applyNumberFormat="1" applyFill="1" applyBorder="1" applyAlignment="1" applyProtection="1">
      <alignment vertical="center"/>
    </xf>
    <xf numFmtId="173" fontId="88" fillId="27" borderId="0" xfId="198" applyNumberFormat="1" applyFont="1" applyFill="1" applyBorder="1" applyAlignment="1" applyProtection="1">
      <alignment vertical="center"/>
    </xf>
    <xf numFmtId="173" fontId="8" fillId="0" borderId="0" xfId="198" applyNumberFormat="1" applyBorder="1" applyAlignment="1" applyProtection="1">
      <alignment vertical="center"/>
    </xf>
    <xf numFmtId="173" fontId="210" fillId="0" borderId="0" xfId="1537" applyNumberFormat="1" applyBorder="1" applyAlignment="1" applyProtection="1">
      <alignment vertical="center"/>
    </xf>
    <xf numFmtId="173" fontId="210" fillId="0" borderId="0" xfId="1537" applyNumberFormat="1" applyFont="1" applyBorder="1" applyAlignment="1" applyProtection="1">
      <alignment vertical="center"/>
    </xf>
    <xf numFmtId="173" fontId="13" fillId="0" borderId="20" xfId="1537" applyNumberFormat="1" applyFont="1" applyBorder="1" applyAlignment="1" applyProtection="1">
      <alignment vertical="center"/>
    </xf>
    <xf numFmtId="173" fontId="88" fillId="0" borderId="0" xfId="1537" applyNumberFormat="1" applyFont="1" applyFill="1" applyBorder="1" applyAlignment="1" applyProtection="1">
      <alignment vertical="center"/>
    </xf>
    <xf numFmtId="173" fontId="210" fillId="0" borderId="11" xfId="1537" applyNumberFormat="1" applyBorder="1" applyAlignment="1" applyProtection="1">
      <alignment vertical="center"/>
    </xf>
    <xf numFmtId="173" fontId="210" fillId="0" borderId="11" xfId="1537" applyNumberFormat="1" applyFill="1" applyBorder="1" applyAlignment="1" applyProtection="1">
      <alignment vertical="center"/>
    </xf>
    <xf numFmtId="173" fontId="13" fillId="0" borderId="25" xfId="1537" applyNumberFormat="1" applyFont="1" applyBorder="1" applyAlignment="1" applyProtection="1">
      <alignment vertical="center"/>
    </xf>
    <xf numFmtId="0" fontId="0" fillId="0" borderId="44" xfId="0" applyBorder="1"/>
    <xf numFmtId="173" fontId="210" fillId="0" borderId="6" xfId="1537" applyNumberFormat="1" applyBorder="1" applyAlignment="1" applyProtection="1">
      <alignment vertical="center"/>
    </xf>
    <xf numFmtId="173" fontId="210" fillId="0" borderId="6" xfId="1537" applyNumberFormat="1" applyFill="1" applyBorder="1" applyAlignment="1" applyProtection="1">
      <alignment vertical="center"/>
    </xf>
    <xf numFmtId="173" fontId="88" fillId="60" borderId="6" xfId="1537" applyNumberFormat="1" applyFont="1" applyFill="1" applyBorder="1" applyAlignment="1" applyProtection="1">
      <alignment vertical="center"/>
    </xf>
    <xf numFmtId="174" fontId="13" fillId="0" borderId="27" xfId="1536" applyNumberFormat="1" applyFont="1" applyBorder="1" applyAlignment="1" applyProtection="1">
      <alignment vertical="center"/>
    </xf>
    <xf numFmtId="173" fontId="13" fillId="0" borderId="28" xfId="0" applyNumberFormat="1" applyFont="1" applyBorder="1"/>
    <xf numFmtId="0" fontId="88" fillId="0" borderId="0" xfId="0" quotePrefix="1" applyFont="1" applyAlignment="1">
      <alignment horizontal="left"/>
    </xf>
    <xf numFmtId="173" fontId="87" fillId="0" borderId="0" xfId="1537" applyNumberFormat="1" applyFont="1" applyAlignment="1" applyProtection="1">
      <alignment horizontal="center" vertical="center"/>
    </xf>
    <xf numFmtId="173" fontId="210" fillId="0" borderId="0" xfId="1537" applyNumberFormat="1" applyAlignment="1" applyProtection="1">
      <alignment vertical="center"/>
    </xf>
    <xf numFmtId="173" fontId="87" fillId="0" borderId="0" xfId="1537" applyNumberFormat="1" applyFont="1" applyFill="1" applyAlignment="1" applyProtection="1">
      <alignment horizontal="center" vertical="center"/>
    </xf>
    <xf numFmtId="43" fontId="139" fillId="0" borderId="0" xfId="1537" applyFont="1" applyFill="1" applyAlignment="1" applyProtection="1">
      <alignment vertical="center"/>
    </xf>
    <xf numFmtId="43" fontId="210" fillId="0" borderId="0" xfId="1537" applyAlignment="1" applyProtection="1">
      <alignment vertical="center"/>
    </xf>
    <xf numFmtId="43" fontId="139" fillId="0" borderId="0" xfId="1537" applyFont="1" applyAlignment="1" applyProtection="1">
      <alignment vertical="center"/>
    </xf>
    <xf numFmtId="173" fontId="0" fillId="0" borderId="39" xfId="0" applyNumberFormat="1" applyBorder="1"/>
    <xf numFmtId="173" fontId="88" fillId="0" borderId="0" xfId="1537" applyNumberFormat="1" applyFont="1" applyFill="1" applyAlignment="1" applyProtection="1">
      <alignment vertical="center"/>
    </xf>
    <xf numFmtId="197" fontId="210" fillId="0" borderId="0" xfId="1537" applyNumberFormat="1" applyAlignment="1" applyProtection="1">
      <alignment vertical="center"/>
    </xf>
    <xf numFmtId="173" fontId="210" fillId="0" borderId="0" xfId="1537" applyNumberFormat="1" applyProtection="1"/>
    <xf numFmtId="173" fontId="8" fillId="0" borderId="0" xfId="198" applyNumberFormat="1" applyFont="1" applyAlignment="1" applyProtection="1">
      <alignment horizontal="center" vertical="center"/>
    </xf>
    <xf numFmtId="43" fontId="8" fillId="0" borderId="0" xfId="198" applyAlignment="1" applyProtection="1">
      <alignment vertical="center"/>
    </xf>
    <xf numFmtId="173" fontId="8" fillId="0" borderId="0" xfId="198" applyNumberFormat="1" applyProtection="1"/>
    <xf numFmtId="0" fontId="8" fillId="0" borderId="0" xfId="0" quotePrefix="1" applyFont="1" applyAlignment="1">
      <alignment horizontal="left"/>
    </xf>
    <xf numFmtId="0" fontId="0" fillId="0" borderId="0" xfId="0" quotePrefix="1" applyAlignment="1">
      <alignment horizontal="left"/>
    </xf>
    <xf numFmtId="0" fontId="13" fillId="0" borderId="0" xfId="0" applyFont="1"/>
    <xf numFmtId="0" fontId="13" fillId="0" borderId="20" xfId="0" applyFont="1" applyBorder="1"/>
    <xf numFmtId="0" fontId="0" fillId="0" borderId="28" xfId="0" applyBorder="1"/>
    <xf numFmtId="173" fontId="215" fillId="0" borderId="0" xfId="198" applyNumberFormat="1" applyFont="1" applyAlignment="1" applyProtection="1">
      <alignment vertical="center"/>
    </xf>
    <xf numFmtId="172" fontId="9" fillId="0" borderId="0" xfId="881" applyProtection="1"/>
    <xf numFmtId="0" fontId="12" fillId="0" borderId="0" xfId="881" applyNumberFormat="1" applyFont="1" applyAlignment="1" applyProtection="1">
      <alignment horizontal="left"/>
    </xf>
    <xf numFmtId="14" fontId="12" fillId="0" borderId="0" xfId="881" applyNumberFormat="1" applyFont="1" applyProtection="1"/>
    <xf numFmtId="0" fontId="11" fillId="0" borderId="0" xfId="198" applyNumberFormat="1" applyFont="1" applyFill="1" applyAlignment="1" applyProtection="1"/>
    <xf numFmtId="0" fontId="11" fillId="0" borderId="0" xfId="881" applyNumberFormat="1" applyFont="1" applyAlignment="1" applyProtection="1">
      <alignment horizontal="right"/>
    </xf>
    <xf numFmtId="3" fontId="11" fillId="0" borderId="0" xfId="881" applyNumberFormat="1" applyFont="1" applyProtection="1"/>
    <xf numFmtId="0" fontId="9" fillId="0" borderId="0" xfId="881" applyNumberFormat="1" applyAlignment="1" applyProtection="1">
      <alignment horizontal="center"/>
    </xf>
    <xf numFmtId="0" fontId="11" fillId="0" borderId="0" xfId="881" applyNumberFormat="1" applyFont="1" applyAlignment="1" applyProtection="1">
      <alignment horizontal="center"/>
    </xf>
    <xf numFmtId="49" fontId="11" fillId="0" borderId="0" xfId="881" applyNumberFormat="1" applyFont="1" applyAlignment="1" applyProtection="1">
      <alignment horizontal="center"/>
    </xf>
    <xf numFmtId="3" fontId="12" fillId="0" borderId="0" xfId="0" applyNumberFormat="1" applyFont="1" applyAlignment="1">
      <alignment horizontal="center"/>
    </xf>
    <xf numFmtId="49" fontId="11" fillId="0" borderId="0" xfId="881" applyNumberFormat="1" applyFont="1" applyProtection="1"/>
    <xf numFmtId="39" fontId="11" fillId="0" borderId="0" xfId="198" applyNumberFormat="1" applyFont="1" applyFill="1" applyAlignment="1" applyProtection="1">
      <alignment horizontal="center"/>
    </xf>
    <xf numFmtId="0" fontId="9" fillId="0" borderId="6" xfId="881" applyNumberFormat="1" applyBorder="1" applyAlignment="1" applyProtection="1">
      <alignment horizontal="center"/>
    </xf>
    <xf numFmtId="0" fontId="11" fillId="0" borderId="6" xfId="881" applyNumberFormat="1" applyFont="1" applyBorder="1" applyAlignment="1" applyProtection="1">
      <alignment horizontal="center"/>
    </xf>
    <xf numFmtId="0" fontId="11" fillId="0" borderId="0" xfId="881" applyNumberFormat="1" applyFont="1" applyAlignment="1" applyProtection="1">
      <alignment horizontal="left"/>
    </xf>
    <xf numFmtId="3" fontId="11" fillId="0" borderId="0" xfId="881" applyNumberFormat="1" applyFont="1" applyAlignment="1" applyProtection="1">
      <alignment horizontal="left"/>
    </xf>
    <xf numFmtId="0" fontId="11" fillId="0" borderId="6" xfId="881" applyNumberFormat="1" applyFont="1" applyBorder="1" applyAlignment="1" applyProtection="1">
      <alignment horizontal="centerContinuous"/>
    </xf>
    <xf numFmtId="41" fontId="11" fillId="0" borderId="0" xfId="881" applyNumberFormat="1" applyFont="1" applyProtection="1"/>
    <xf numFmtId="3" fontId="11" fillId="0" borderId="0" xfId="881" applyNumberFormat="1" applyFont="1" applyAlignment="1" applyProtection="1">
      <alignment horizontal="center"/>
    </xf>
    <xf numFmtId="165" fontId="11" fillId="0" borderId="0" xfId="881" applyNumberFormat="1" applyFont="1" applyAlignment="1" applyProtection="1">
      <alignment horizontal="right"/>
    </xf>
    <xf numFmtId="42" fontId="11" fillId="0" borderId="0" xfId="881" applyNumberFormat="1" applyFont="1" applyProtection="1"/>
    <xf numFmtId="43" fontId="11" fillId="0" borderId="0" xfId="881" applyNumberFormat="1" applyFont="1" applyAlignment="1" applyProtection="1">
      <alignment horizontal="center"/>
    </xf>
    <xf numFmtId="0" fontId="11" fillId="0" borderId="0" xfId="881" applyNumberFormat="1" applyFont="1" applyAlignment="1" applyProtection="1">
      <alignment horizontal="centerContinuous"/>
    </xf>
    <xf numFmtId="0" fontId="11" fillId="0" borderId="0" xfId="0" applyFont="1" applyAlignment="1">
      <alignment wrapText="1"/>
    </xf>
    <xf numFmtId="170" fontId="11" fillId="0" borderId="15" xfId="881" applyNumberFormat="1" applyFont="1" applyBorder="1" applyProtection="1"/>
    <xf numFmtId="172" fontId="68" fillId="0" borderId="0" xfId="881" applyFont="1" applyAlignment="1" applyProtection="1">
      <alignment horizontal="center" wrapText="1"/>
    </xf>
    <xf numFmtId="43" fontId="11" fillId="0" borderId="0" xfId="198" applyFont="1" applyFill="1" applyProtection="1"/>
    <xf numFmtId="171" fontId="11" fillId="0" borderId="0" xfId="881" applyNumberFormat="1" applyFont="1" applyProtection="1"/>
    <xf numFmtId="10" fontId="11" fillId="0" borderId="0" xfId="881" applyNumberFormat="1" applyFont="1" applyProtection="1"/>
    <xf numFmtId="10" fontId="11" fillId="0" borderId="0" xfId="899" applyNumberFormat="1" applyFont="1" applyFill="1" applyAlignment="1" applyProtection="1"/>
    <xf numFmtId="173" fontId="11" fillId="0" borderId="0" xfId="198" applyNumberFormat="1" applyFont="1" applyFill="1" applyAlignment="1" applyProtection="1"/>
    <xf numFmtId="42" fontId="11" fillId="0" borderId="0" xfId="899" applyNumberFormat="1" applyFont="1" applyFill="1" applyAlignment="1" applyProtection="1"/>
    <xf numFmtId="43" fontId="11" fillId="0" borderId="0" xfId="198" applyFont="1" applyFill="1" applyAlignment="1" applyProtection="1"/>
    <xf numFmtId="41" fontId="11" fillId="0" borderId="0" xfId="881" applyNumberFormat="1" applyFont="1" applyAlignment="1" applyProtection="1">
      <alignment horizontal="center"/>
    </xf>
    <xf numFmtId="49" fontId="11" fillId="0" borderId="0" xfId="881" applyNumberFormat="1" applyFont="1" applyAlignment="1" applyProtection="1">
      <alignment horizontal="left"/>
    </xf>
    <xf numFmtId="0" fontId="9" fillId="0" borderId="0" xfId="881" applyNumberFormat="1" applyAlignment="1" applyProtection="1">
      <alignment horizontal="center" vertical="center"/>
    </xf>
    <xf numFmtId="3" fontId="12" fillId="0" borderId="0" xfId="881" applyNumberFormat="1" applyFont="1" applyAlignment="1" applyProtection="1">
      <alignment horizontal="center"/>
    </xf>
    <xf numFmtId="172" fontId="12" fillId="0" borderId="0" xfId="881" applyFont="1" applyAlignment="1" applyProtection="1">
      <alignment horizontal="center"/>
    </xf>
    <xf numFmtId="49" fontId="12" fillId="0" borderId="0" xfId="881" applyNumberFormat="1" applyFont="1" applyAlignment="1" applyProtection="1">
      <alignment horizontal="center"/>
    </xf>
    <xf numFmtId="0" fontId="14" fillId="0" borderId="0" xfId="881" applyNumberFormat="1" applyFont="1" applyAlignment="1" applyProtection="1">
      <alignment horizontal="center"/>
    </xf>
    <xf numFmtId="172" fontId="14" fillId="0" borderId="0" xfId="881" applyFont="1" applyAlignment="1" applyProtection="1">
      <alignment horizontal="center"/>
    </xf>
    <xf numFmtId="3" fontId="12" fillId="0" borderId="0" xfId="881" applyNumberFormat="1" applyFont="1" applyProtection="1"/>
    <xf numFmtId="3" fontId="18" fillId="0" borderId="0" xfId="881" applyNumberFormat="1" applyFont="1" applyAlignment="1" applyProtection="1">
      <alignment horizontal="center"/>
    </xf>
    <xf numFmtId="3" fontId="81" fillId="0" borderId="0" xfId="881" applyNumberFormat="1" applyFont="1" applyProtection="1"/>
    <xf numFmtId="0" fontId="11" fillId="0" borderId="0" xfId="881" applyNumberFormat="1" applyFont="1" applyAlignment="1" applyProtection="1">
      <alignment horizontal="center" vertical="center"/>
    </xf>
    <xf numFmtId="0" fontId="11" fillId="0" borderId="0" xfId="881" applyNumberFormat="1" applyFont="1" applyAlignment="1" applyProtection="1">
      <alignment vertical="center"/>
    </xf>
    <xf numFmtId="3" fontId="81" fillId="0" borderId="0" xfId="881" applyNumberFormat="1" applyFont="1" applyAlignment="1" applyProtection="1">
      <alignment vertical="center" wrapText="1"/>
    </xf>
    <xf numFmtId="3" fontId="11" fillId="0" borderId="0" xfId="881" applyNumberFormat="1" applyFont="1" applyAlignment="1" applyProtection="1">
      <alignment horizontal="center" vertical="center"/>
    </xf>
    <xf numFmtId="3" fontId="11" fillId="0" borderId="0" xfId="881" applyNumberFormat="1" applyFont="1" applyAlignment="1" applyProtection="1">
      <alignment vertical="center"/>
    </xf>
    <xf numFmtId="41" fontId="11" fillId="0" borderId="0" xfId="881" applyNumberFormat="1" applyFont="1" applyAlignment="1" applyProtection="1">
      <alignment vertical="center"/>
    </xf>
    <xf numFmtId="41" fontId="11" fillId="0" borderId="6" xfId="881" applyNumberFormat="1" applyFont="1" applyBorder="1" applyProtection="1"/>
    <xf numFmtId="165" fontId="12" fillId="0" borderId="0" xfId="881" applyNumberFormat="1" applyFont="1" applyProtection="1"/>
    <xf numFmtId="44" fontId="11" fillId="0" borderId="0" xfId="881" applyNumberFormat="1" applyFont="1" applyAlignment="1" applyProtection="1">
      <alignment horizontal="right"/>
    </xf>
    <xf numFmtId="172" fontId="12" fillId="0" borderId="0" xfId="881" applyFont="1" applyAlignment="1" applyProtection="1">
      <alignment horizontal="right"/>
    </xf>
    <xf numFmtId="181" fontId="12" fillId="0" borderId="0" xfId="198" applyNumberFormat="1" applyFont="1" applyFill="1" applyAlignment="1" applyProtection="1"/>
    <xf numFmtId="183" fontId="11" fillId="0" borderId="0" xfId="881" applyNumberFormat="1" applyFont="1" applyProtection="1"/>
    <xf numFmtId="182" fontId="11" fillId="0" borderId="0" xfId="881" applyNumberFormat="1" applyFont="1" applyProtection="1"/>
    <xf numFmtId="3" fontId="11" fillId="0" borderId="0" xfId="881" applyNumberFormat="1" applyFont="1" applyAlignment="1" applyProtection="1">
      <alignment wrapText="1"/>
    </xf>
    <xf numFmtId="3" fontId="12" fillId="0" borderId="0" xfId="881" applyNumberFormat="1" applyFont="1" applyAlignment="1" applyProtection="1">
      <alignment horizontal="right" vertical="center"/>
    </xf>
    <xf numFmtId="165" fontId="11" fillId="0" borderId="0" xfId="881" applyNumberFormat="1" applyFont="1" applyProtection="1"/>
    <xf numFmtId="0" fontId="11" fillId="0" borderId="0" xfId="881" applyNumberFormat="1" applyFont="1" applyAlignment="1" applyProtection="1">
      <alignment horizontal="left" wrapText="1"/>
    </xf>
    <xf numFmtId="0" fontId="8" fillId="0" borderId="0" xfId="0" applyFont="1" applyAlignment="1">
      <alignment wrapText="1"/>
    </xf>
    <xf numFmtId="0" fontId="8" fillId="0" borderId="0" xfId="0" applyFont="1" applyAlignment="1">
      <alignment horizontal="center" wrapText="1"/>
    </xf>
    <xf numFmtId="164" fontId="11" fillId="0" borderId="0" xfId="881" applyNumberFormat="1" applyFont="1" applyAlignment="1" applyProtection="1">
      <alignment horizontal="center"/>
    </xf>
    <xf numFmtId="176" fontId="11" fillId="0" borderId="0" xfId="198" applyNumberFormat="1" applyFont="1" applyFill="1" applyAlignment="1" applyProtection="1">
      <alignment horizontal="center"/>
    </xf>
    <xf numFmtId="181" fontId="11" fillId="0" borderId="0" xfId="198" applyNumberFormat="1" applyFont="1" applyFill="1" applyAlignment="1" applyProtection="1"/>
    <xf numFmtId="41" fontId="11" fillId="0" borderId="0" xfId="881" applyNumberFormat="1" applyFont="1" applyAlignment="1" applyProtection="1">
      <alignment horizontal="center" vertical="center"/>
    </xf>
    <xf numFmtId="41" fontId="11" fillId="0" borderId="29" xfId="881" applyNumberFormat="1" applyFont="1" applyBorder="1" applyProtection="1"/>
    <xf numFmtId="172" fontId="11" fillId="0" borderId="0" xfId="881" applyFont="1" applyAlignment="1" applyProtection="1">
      <alignment horizontal="center"/>
    </xf>
    <xf numFmtId="0" fontId="12" fillId="0" borderId="0" xfId="881" applyNumberFormat="1" applyFont="1" applyAlignment="1" applyProtection="1">
      <alignment horizontal="center"/>
    </xf>
    <xf numFmtId="3" fontId="14" fillId="0" borderId="0" xfId="881" applyNumberFormat="1" applyFont="1" applyAlignment="1" applyProtection="1">
      <alignment horizontal="center"/>
    </xf>
    <xf numFmtId="172" fontId="9" fillId="0" borderId="0" xfId="881" applyAlignment="1" applyProtection="1">
      <alignment horizontal="center"/>
    </xf>
    <xf numFmtId="3" fontId="14" fillId="0" borderId="0" xfId="881" applyNumberFormat="1" applyFont="1" applyProtection="1"/>
    <xf numFmtId="41" fontId="11" fillId="27" borderId="0" xfId="879" applyNumberFormat="1" applyFont="1" applyFill="1"/>
    <xf numFmtId="41" fontId="11" fillId="0" borderId="0" xfId="879" applyNumberFormat="1" applyFont="1"/>
    <xf numFmtId="41" fontId="11" fillId="0" borderId="17" xfId="881" applyNumberFormat="1" applyFont="1" applyBorder="1" applyProtection="1"/>
    <xf numFmtId="43" fontId="8" fillId="0" borderId="0" xfId="198" applyFont="1" applyFill="1" applyAlignment="1" applyProtection="1"/>
    <xf numFmtId="3" fontId="11" fillId="0" borderId="0" xfId="881" applyNumberFormat="1" applyFont="1" applyAlignment="1" applyProtection="1">
      <alignment vertical="center" wrapText="1"/>
    </xf>
    <xf numFmtId="166" fontId="11" fillId="0" borderId="0" xfId="881" applyNumberFormat="1" applyFont="1" applyProtection="1"/>
    <xf numFmtId="167" fontId="11" fillId="0" borderId="0" xfId="881" applyNumberFormat="1" applyFont="1" applyProtection="1"/>
    <xf numFmtId="164" fontId="11" fillId="0" borderId="0" xfId="881" applyNumberFormat="1" applyFont="1" applyAlignment="1" applyProtection="1">
      <alignment horizontal="left"/>
    </xf>
    <xf numFmtId="168" fontId="11" fillId="0" borderId="0" xfId="881" applyNumberFormat="1" applyFont="1" applyProtection="1"/>
    <xf numFmtId="10" fontId="11" fillId="0" borderId="0" xfId="881" applyNumberFormat="1" applyFont="1" applyAlignment="1" applyProtection="1">
      <alignment horizontal="right"/>
    </xf>
    <xf numFmtId="10" fontId="8" fillId="0" borderId="0" xfId="0" applyNumberFormat="1" applyFont="1"/>
    <xf numFmtId="166" fontId="11" fillId="0" borderId="0" xfId="881" applyNumberFormat="1" applyFont="1" applyAlignment="1" applyProtection="1">
      <alignment horizontal="center"/>
    </xf>
    <xf numFmtId="188" fontId="11" fillId="0" borderId="0" xfId="881" applyNumberFormat="1" applyFont="1" applyAlignment="1" applyProtection="1">
      <alignment horizontal="center"/>
    </xf>
    <xf numFmtId="189" fontId="11" fillId="0" borderId="0" xfId="881" applyNumberFormat="1" applyFont="1" applyProtection="1"/>
    <xf numFmtId="178" fontId="11" fillId="0" borderId="0" xfId="881" applyNumberFormat="1" applyFont="1" applyAlignment="1" applyProtection="1">
      <alignment horizontal="right"/>
    </xf>
    <xf numFmtId="186" fontId="11" fillId="0" borderId="0" xfId="198" applyNumberFormat="1" applyFont="1" applyFill="1" applyAlignment="1" applyProtection="1">
      <alignment horizontal="center"/>
    </xf>
    <xf numFmtId="178" fontId="11" fillId="0" borderId="0" xfId="881" applyNumberFormat="1" applyFont="1" applyAlignment="1" applyProtection="1">
      <alignment horizontal="center"/>
    </xf>
    <xf numFmtId="10" fontId="11" fillId="0" borderId="0" xfId="881" applyNumberFormat="1" applyFont="1" applyAlignment="1" applyProtection="1">
      <alignment horizontal="left"/>
    </xf>
    <xf numFmtId="168" fontId="11" fillId="0" borderId="0" xfId="881" applyNumberFormat="1" applyFont="1" applyAlignment="1" applyProtection="1">
      <alignment horizontal="left"/>
    </xf>
    <xf numFmtId="41" fontId="11" fillId="0" borderId="0" xfId="881" applyNumberFormat="1" applyFont="1" applyAlignment="1" applyProtection="1">
      <alignment horizontal="right"/>
    </xf>
    <xf numFmtId="178" fontId="11" fillId="0" borderId="0" xfId="881" applyNumberFormat="1" applyFont="1" applyProtection="1"/>
    <xf numFmtId="164" fontId="11" fillId="0" borderId="0" xfId="881" applyNumberFormat="1" applyFont="1" applyAlignment="1" applyProtection="1">
      <alignment horizontal="left" vertical="center"/>
    </xf>
    <xf numFmtId="179" fontId="11" fillId="0" borderId="0" xfId="881" applyNumberFormat="1" applyFont="1" applyProtection="1"/>
    <xf numFmtId="3" fontId="11" fillId="0" borderId="0" xfId="881" applyNumberFormat="1" applyFont="1" applyAlignment="1" applyProtection="1">
      <alignment horizontal="right"/>
    </xf>
    <xf numFmtId="173" fontId="11" fillId="0" borderId="15" xfId="198" applyNumberFormat="1" applyFont="1" applyFill="1" applyBorder="1" applyAlignment="1" applyProtection="1"/>
    <xf numFmtId="0" fontId="12" fillId="0" borderId="0" xfId="881" applyNumberFormat="1" applyFont="1" applyProtection="1"/>
    <xf numFmtId="0" fontId="11" fillId="0" borderId="0" xfId="0" applyFont="1" applyAlignment="1">
      <alignment horizontal="left"/>
    </xf>
    <xf numFmtId="0" fontId="11" fillId="0" borderId="0" xfId="881" quotePrefix="1" applyNumberFormat="1" applyFont="1" applyAlignment="1" applyProtection="1">
      <alignment horizontal="left"/>
    </xf>
    <xf numFmtId="173" fontId="11" fillId="0" borderId="6" xfId="198" applyNumberFormat="1" applyFont="1" applyFill="1" applyBorder="1" applyAlignment="1" applyProtection="1"/>
    <xf numFmtId="165" fontId="12" fillId="0" borderId="0" xfId="881" applyNumberFormat="1" applyFont="1" applyAlignment="1" applyProtection="1">
      <alignment horizontal="right"/>
    </xf>
    <xf numFmtId="4" fontId="11" fillId="0" borderId="0" xfId="881" applyNumberFormat="1" applyFont="1" applyProtection="1"/>
    <xf numFmtId="166" fontId="12" fillId="0" borderId="0" xfId="881" applyNumberFormat="1" applyFont="1" applyProtection="1"/>
    <xf numFmtId="3" fontId="11" fillId="0" borderId="6" xfId="881" applyNumberFormat="1" applyFont="1" applyBorder="1" applyAlignment="1" applyProtection="1">
      <alignment horizontal="center"/>
    </xf>
    <xf numFmtId="0" fontId="18" fillId="0" borderId="0" xfId="881" applyNumberFormat="1" applyFont="1" applyAlignment="1" applyProtection="1">
      <alignment horizontal="left"/>
    </xf>
    <xf numFmtId="41" fontId="11" fillId="0" borderId="6" xfId="881" applyNumberFormat="1" applyFont="1" applyBorder="1" applyAlignment="1" applyProtection="1">
      <alignment horizontal="center"/>
    </xf>
    <xf numFmtId="3" fontId="14" fillId="0" borderId="0" xfId="881" applyNumberFormat="1" applyFont="1" applyAlignment="1" applyProtection="1">
      <alignment horizontal="center" wrapText="1"/>
    </xf>
    <xf numFmtId="0" fontId="81" fillId="0" borderId="6" xfId="881" applyNumberFormat="1" applyFont="1" applyBorder="1" applyAlignment="1" applyProtection="1">
      <alignment horizontal="center"/>
    </xf>
    <xf numFmtId="169" fontId="11" fillId="0" borderId="0" xfId="881" applyNumberFormat="1" applyFont="1" applyProtection="1"/>
    <xf numFmtId="10" fontId="11" fillId="27" borderId="0" xfId="899" applyNumberFormat="1" applyFont="1" applyFill="1" applyProtection="1"/>
    <xf numFmtId="169" fontId="11" fillId="0" borderId="6" xfId="881" applyNumberFormat="1" applyFont="1" applyBorder="1" applyProtection="1"/>
    <xf numFmtId="3" fontId="12" fillId="0" borderId="0" xfId="881" applyNumberFormat="1" applyFont="1" applyAlignment="1" applyProtection="1">
      <alignment horizontal="right"/>
    </xf>
    <xf numFmtId="169" fontId="12" fillId="0" borderId="0" xfId="881" applyNumberFormat="1" applyFont="1" applyProtection="1"/>
    <xf numFmtId="191" fontId="11" fillId="0" borderId="0" xfId="899" applyNumberFormat="1" applyFont="1" applyFill="1" applyAlignment="1" applyProtection="1"/>
    <xf numFmtId="0" fontId="9" fillId="0" borderId="0" xfId="0" applyFont="1"/>
    <xf numFmtId="181" fontId="11" fillId="0" borderId="0" xfId="198" applyNumberFormat="1" applyFont="1" applyFill="1" applyProtection="1"/>
    <xf numFmtId="172" fontId="11" fillId="0" borderId="0" xfId="881" applyFont="1" applyAlignment="1" applyProtection="1">
      <alignment horizontal="center" vertical="top"/>
    </xf>
    <xf numFmtId="0" fontId="8" fillId="0" borderId="0" xfId="0" applyFont="1" applyAlignment="1">
      <alignment vertical="center" wrapText="1"/>
    </xf>
    <xf numFmtId="0" fontId="19" fillId="0" borderId="0" xfId="0" applyFont="1" applyAlignment="1">
      <alignment vertical="top" wrapText="1"/>
    </xf>
    <xf numFmtId="0" fontId="9" fillId="0" borderId="0" xfId="881" applyNumberFormat="1" applyAlignment="1" applyProtection="1">
      <alignment horizontal="center" vertical="top"/>
    </xf>
    <xf numFmtId="0" fontId="11" fillId="0" borderId="0" xfId="881" applyNumberFormat="1" applyFont="1" applyAlignment="1" applyProtection="1">
      <alignment horizontal="center" vertical="top"/>
    </xf>
    <xf numFmtId="0" fontId="9" fillId="0" borderId="0" xfId="881" applyNumberFormat="1" applyProtection="1"/>
    <xf numFmtId="1" fontId="11" fillId="0" borderId="0" xfId="881" applyNumberFormat="1" applyFont="1" applyProtection="1"/>
    <xf numFmtId="0" fontId="159" fillId="0" borderId="0" xfId="760" applyFont="1"/>
    <xf numFmtId="0" fontId="16" fillId="0" borderId="0" xfId="760"/>
    <xf numFmtId="0" fontId="16" fillId="0" borderId="0" xfId="760" applyAlignment="1">
      <alignment horizontal="center"/>
    </xf>
    <xf numFmtId="0" fontId="16" fillId="0" borderId="0" xfId="760" applyAlignment="1">
      <alignment horizontal="right"/>
    </xf>
    <xf numFmtId="0" fontId="12" fillId="0" borderId="0" xfId="791" applyFont="1"/>
    <xf numFmtId="0" fontId="13" fillId="0" borderId="0" xfId="1123" applyFont="1" applyAlignment="1">
      <alignment horizontal="centerContinuous"/>
    </xf>
    <xf numFmtId="0" fontId="16" fillId="0" borderId="0" xfId="1123" applyAlignment="1">
      <alignment horizontal="left"/>
    </xf>
    <xf numFmtId="0" fontId="13" fillId="0" borderId="0" xfId="1123" applyFont="1" applyAlignment="1">
      <alignment horizontal="center"/>
    </xf>
    <xf numFmtId="0" fontId="16" fillId="0" borderId="53" xfId="760" applyBorder="1" applyAlignment="1">
      <alignment horizontal="center" wrapText="1"/>
    </xf>
    <xf numFmtId="0" fontId="13" fillId="0" borderId="52" xfId="1123" applyFont="1" applyBorder="1" applyAlignment="1">
      <alignment horizontal="center" wrapText="1"/>
    </xf>
    <xf numFmtId="0" fontId="13" fillId="0" borderId="51" xfId="1123" applyFont="1" applyBorder="1" applyAlignment="1">
      <alignment horizontal="center" wrapText="1"/>
    </xf>
    <xf numFmtId="0" fontId="13" fillId="0" borderId="0" xfId="1123" applyFont="1" applyAlignment="1">
      <alignment horizontal="center" wrapText="1"/>
    </xf>
    <xf numFmtId="0" fontId="13" fillId="0" borderId="50" xfId="1123" applyFont="1" applyBorder="1" applyAlignment="1">
      <alignment horizontal="center" wrapText="1"/>
    </xf>
    <xf numFmtId="0" fontId="16" fillId="0" borderId="0" xfId="760" applyAlignment="1">
      <alignment wrapText="1"/>
    </xf>
    <xf numFmtId="0" fontId="16" fillId="0" borderId="51" xfId="760" applyBorder="1" applyAlignment="1">
      <alignment horizontal="center"/>
    </xf>
    <xf numFmtId="0" fontId="13" fillId="0" borderId="50" xfId="1123" applyFont="1" applyBorder="1" applyAlignment="1">
      <alignment horizontal="center"/>
    </xf>
    <xf numFmtId="0" fontId="13" fillId="0" borderId="51" xfId="1123" applyFont="1" applyBorder="1" applyAlignment="1">
      <alignment horizontal="center"/>
    </xf>
    <xf numFmtId="0" fontId="161" fillId="0" borderId="0" xfId="760" applyFont="1"/>
    <xf numFmtId="3" fontId="24" fillId="0" borderId="11" xfId="791" applyNumberFormat="1" applyFont="1" applyBorder="1" applyAlignment="1">
      <alignment horizontal="center" wrapText="1"/>
    </xf>
    <xf numFmtId="3" fontId="24" fillId="0" borderId="48" xfId="791" applyNumberFormat="1" applyFont="1" applyBorder="1" applyAlignment="1">
      <alignment horizontal="center" wrapText="1"/>
    </xf>
    <xf numFmtId="0" fontId="16" fillId="0" borderId="50" xfId="1123" quotePrefix="1" applyBorder="1" applyAlignment="1">
      <alignment horizontal="left"/>
    </xf>
    <xf numFmtId="173" fontId="88" fillId="27" borderId="0" xfId="0" applyNumberFormat="1" applyFont="1" applyFill="1"/>
    <xf numFmtId="173" fontId="88" fillId="27" borderId="0" xfId="198" applyNumberFormat="1" applyFont="1" applyFill="1" applyBorder="1" applyProtection="1"/>
    <xf numFmtId="173" fontId="88" fillId="27" borderId="50" xfId="0" applyNumberFormat="1" applyFont="1" applyFill="1" applyBorder="1"/>
    <xf numFmtId="0" fontId="16" fillId="0" borderId="50" xfId="1123" applyBorder="1"/>
    <xf numFmtId="0" fontId="16" fillId="0" borderId="49" xfId="760" applyBorder="1" applyAlignment="1">
      <alignment horizontal="center"/>
    </xf>
    <xf numFmtId="0" fontId="16" fillId="0" borderId="48" xfId="1123" applyBorder="1"/>
    <xf numFmtId="0" fontId="16" fillId="0" borderId="66" xfId="760" applyBorder="1" applyAlignment="1">
      <alignment horizontal="center"/>
    </xf>
    <xf numFmtId="173" fontId="16" fillId="0" borderId="66" xfId="276" applyNumberFormat="1" applyFont="1" applyBorder="1" applyProtection="1"/>
    <xf numFmtId="0" fontId="16" fillId="0" borderId="0" xfId="1123"/>
    <xf numFmtId="37" fontId="16" fillId="0" borderId="0" xfId="1123" applyNumberFormat="1"/>
    <xf numFmtId="172" fontId="16" fillId="0" borderId="0" xfId="1124" applyFont="1" applyProtection="1"/>
    <xf numFmtId="0" fontId="16" fillId="0" borderId="0" xfId="1125"/>
    <xf numFmtId="0" fontId="13" fillId="0" borderId="0" xfId="1123" applyFont="1"/>
    <xf numFmtId="0" fontId="16" fillId="0" borderId="0" xfId="760" applyAlignment="1">
      <alignment horizontal="center" wrapText="1"/>
    </xf>
    <xf numFmtId="0" fontId="13" fillId="0" borderId="11" xfId="1123" applyFont="1" applyBorder="1"/>
    <xf numFmtId="0" fontId="13" fillId="0" borderId="11" xfId="1123" applyFont="1" applyBorder="1" applyAlignment="1">
      <alignment horizontal="center" wrapText="1"/>
    </xf>
    <xf numFmtId="0" fontId="13" fillId="0" borderId="2" xfId="1123" applyFont="1" applyBorder="1" applyAlignment="1">
      <alignment horizontal="center"/>
    </xf>
    <xf numFmtId="0" fontId="88" fillId="27" borderId="0" xfId="198" applyNumberFormat="1" applyFont="1" applyFill="1" applyBorder="1" applyProtection="1"/>
    <xf numFmtId="0" fontId="16" fillId="0" borderId="15" xfId="760" applyBorder="1"/>
    <xf numFmtId="173" fontId="16" fillId="0" borderId="15" xfId="760" applyNumberFormat="1" applyBorder="1"/>
    <xf numFmtId="0" fontId="161" fillId="0" borderId="0" xfId="760" applyFont="1" applyAlignment="1">
      <alignment horizontal="center"/>
    </xf>
    <xf numFmtId="0" fontId="17" fillId="0" borderId="0" xfId="760" applyFont="1" applyAlignment="1">
      <alignment horizontal="center"/>
    </xf>
    <xf numFmtId="0" fontId="16" fillId="0" borderId="48" xfId="1123" applyBorder="1" applyAlignment="1">
      <alignment horizontal="left"/>
    </xf>
    <xf numFmtId="0" fontId="13" fillId="0" borderId="0" xfId="1123" applyFont="1" applyAlignment="1">
      <alignment wrapText="1"/>
    </xf>
    <xf numFmtId="0" fontId="8" fillId="0" borderId="0" xfId="760" applyFont="1" applyAlignment="1">
      <alignment horizontal="center"/>
    </xf>
    <xf numFmtId="0" fontId="8" fillId="0" borderId="0" xfId="1123" applyFont="1"/>
    <xf numFmtId="37" fontId="8" fillId="0" borderId="0" xfId="1123" applyNumberFormat="1" applyFont="1"/>
    <xf numFmtId="170" fontId="8" fillId="0" borderId="14" xfId="1124" applyNumberFormat="1" applyFont="1" applyBorder="1" applyProtection="1"/>
    <xf numFmtId="172" fontId="8" fillId="0" borderId="0" xfId="1124" applyFont="1" applyProtection="1"/>
    <xf numFmtId="0" fontId="8" fillId="0" borderId="0" xfId="1125" applyFont="1"/>
    <xf numFmtId="3" fontId="12" fillId="0" borderId="0" xfId="198" applyNumberFormat="1" applyFont="1" applyFill="1" applyAlignment="1" applyProtection="1"/>
    <xf numFmtId="10" fontId="19" fillId="0" borderId="0" xfId="912" applyNumberFormat="1" applyFont="1" applyFill="1" applyAlignment="1" applyProtection="1">
      <alignment horizontal="center"/>
    </xf>
    <xf numFmtId="0" fontId="58" fillId="0" borderId="11" xfId="0" applyFont="1" applyBorder="1" applyAlignment="1">
      <alignment horizontal="center"/>
    </xf>
    <xf numFmtId="0" fontId="58" fillId="0" borderId="11" xfId="0" applyFont="1" applyBorder="1"/>
    <xf numFmtId="0" fontId="58" fillId="0" borderId="11" xfId="791" applyFont="1" applyBorder="1"/>
    <xf numFmtId="173" fontId="58" fillId="0" borderId="11" xfId="276" applyNumberFormat="1" applyFont="1" applyFill="1" applyBorder="1" applyAlignment="1" applyProtection="1">
      <alignment horizontal="center"/>
    </xf>
    <xf numFmtId="0" fontId="58" fillId="0" borderId="0" xfId="791" applyFont="1" applyAlignment="1">
      <alignment horizontal="center"/>
    </xf>
    <xf numFmtId="0" fontId="35" fillId="0" borderId="0" xfId="791" applyFont="1"/>
    <xf numFmtId="0" fontId="58" fillId="0" borderId="0" xfId="791" applyFont="1"/>
    <xf numFmtId="0" fontId="58" fillId="0" borderId="0" xfId="0" applyFont="1" applyAlignment="1">
      <alignment horizontal="center"/>
    </xf>
    <xf numFmtId="0" fontId="58" fillId="0" borderId="0" xfId="877" applyFont="1" applyProtection="1"/>
    <xf numFmtId="0" fontId="58" fillId="0" borderId="0" xfId="0" applyFont="1"/>
    <xf numFmtId="0" fontId="58" fillId="0" borderId="0" xfId="0" applyFont="1" applyAlignment="1">
      <alignment vertical="top"/>
    </xf>
    <xf numFmtId="0" fontId="124" fillId="0" borderId="0" xfId="0" applyFont="1"/>
    <xf numFmtId="0" fontId="84" fillId="0" borderId="0" xfId="0" applyFont="1"/>
    <xf numFmtId="41" fontId="16" fillId="0" borderId="0" xfId="878" applyNumberFormat="1" applyFont="1"/>
    <xf numFmtId="0" fontId="16" fillId="0" borderId="0" xfId="878" applyFont="1" applyAlignment="1">
      <alignment horizontal="center" vertical="top"/>
    </xf>
    <xf numFmtId="41" fontId="16" fillId="0" borderId="11" xfId="878" applyNumberFormat="1" applyFont="1" applyBorder="1"/>
    <xf numFmtId="41" fontId="16" fillId="0" borderId="11" xfId="878" applyNumberFormat="1" applyFont="1" applyBorder="1" applyAlignment="1">
      <alignment vertical="top"/>
    </xf>
    <xf numFmtId="37" fontId="16" fillId="0" borderId="0" xfId="878" applyNumberFormat="1" applyFont="1"/>
    <xf numFmtId="37" fontId="16" fillId="0" borderId="0" xfId="0" applyNumberFormat="1" applyFont="1"/>
    <xf numFmtId="41" fontId="133" fillId="0" borderId="0" xfId="878" applyNumberFormat="1" applyFont="1"/>
    <xf numFmtId="37" fontId="16" fillId="0" borderId="14" xfId="0" applyNumberFormat="1" applyFont="1" applyBorder="1"/>
    <xf numFmtId="37" fontId="16" fillId="0" borderId="0" xfId="878" applyNumberFormat="1" applyFont="1" applyAlignment="1">
      <alignment vertical="center"/>
    </xf>
    <xf numFmtId="175" fontId="17" fillId="0" borderId="0" xfId="878" applyNumberFormat="1" applyFont="1" applyAlignment="1">
      <alignment vertical="center"/>
    </xf>
    <xf numFmtId="37" fontId="13" fillId="0" borderId="12" xfId="878" applyNumberFormat="1" applyFont="1" applyBorder="1"/>
    <xf numFmtId="0" fontId="92" fillId="0" borderId="0" xfId="878" applyFont="1"/>
    <xf numFmtId="43" fontId="16" fillId="27" borderId="0" xfId="198" applyFont="1" applyFill="1" applyBorder="1" applyProtection="1"/>
    <xf numFmtId="175" fontId="17" fillId="0" borderId="0" xfId="878" applyNumberFormat="1" applyFont="1" applyAlignment="1">
      <alignment horizontal="center" vertical="center"/>
    </xf>
    <xf numFmtId="43" fontId="16" fillId="0" borderId="0" xfId="198" applyFont="1" applyFill="1" applyProtection="1"/>
    <xf numFmtId="173" fontId="16" fillId="0" borderId="0" xfId="198" applyNumberFormat="1" applyFont="1" applyFill="1" applyProtection="1"/>
    <xf numFmtId="0" fontId="120" fillId="0" borderId="0" xfId="0" applyFont="1"/>
    <xf numFmtId="0" fontId="93" fillId="0" borderId="0" xfId="878" applyFont="1" applyAlignment="1">
      <alignment horizontal="left"/>
    </xf>
    <xf numFmtId="0" fontId="13" fillId="0" borderId="11" xfId="0" applyFont="1" applyBorder="1" applyAlignment="1">
      <alignment horizontal="center"/>
    </xf>
    <xf numFmtId="173" fontId="13" fillId="0" borderId="11" xfId="198" applyNumberFormat="1" applyFont="1" applyFill="1" applyBorder="1" applyAlignment="1" applyProtection="1">
      <alignment horizontal="center"/>
    </xf>
    <xf numFmtId="43" fontId="135" fillId="0" borderId="0" xfId="231" applyBorder="1" applyProtection="1"/>
    <xf numFmtId="0" fontId="88" fillId="27" borderId="0" xfId="0" applyFont="1" applyFill="1"/>
    <xf numFmtId="0" fontId="88" fillId="0" borderId="0" xfId="0" applyFont="1"/>
    <xf numFmtId="37" fontId="88" fillId="27" borderId="0" xfId="0" applyNumberFormat="1" applyFont="1" applyFill="1"/>
    <xf numFmtId="37" fontId="88" fillId="27" borderId="0" xfId="0" applyNumberFormat="1" applyFont="1" applyFill="1" applyAlignment="1">
      <alignment horizontal="center"/>
    </xf>
    <xf numFmtId="37" fontId="16" fillId="0" borderId="0" xfId="275" applyNumberFormat="1" applyFont="1" applyFill="1" applyProtection="1"/>
    <xf numFmtId="37" fontId="13" fillId="0" borderId="0" xfId="198" applyNumberFormat="1" applyFont="1" applyFill="1" applyBorder="1" applyProtection="1"/>
    <xf numFmtId="43" fontId="16" fillId="0" borderId="0" xfId="275" applyFont="1" applyFill="1" applyBorder="1" applyProtection="1"/>
    <xf numFmtId="43" fontId="88" fillId="27" borderId="0" xfId="275" applyFont="1" applyFill="1" applyBorder="1" applyAlignment="1" applyProtection="1">
      <alignment horizontal="center"/>
    </xf>
    <xf numFmtId="43" fontId="88" fillId="27" borderId="0" xfId="275" applyFont="1" applyFill="1" applyBorder="1" applyAlignment="1" applyProtection="1">
      <alignment horizontal="left"/>
    </xf>
    <xf numFmtId="173" fontId="88" fillId="27" borderId="0" xfId="275" applyNumberFormat="1" applyFont="1" applyFill="1" applyBorder="1" applyProtection="1"/>
    <xf numFmtId="43" fontId="88" fillId="27" borderId="0" xfId="198" applyFont="1" applyFill="1" applyBorder="1" applyProtection="1"/>
    <xf numFmtId="43" fontId="16" fillId="0" borderId="0" xfId="198" applyFont="1" applyFill="1" applyBorder="1" applyProtection="1"/>
    <xf numFmtId="43" fontId="88" fillId="27" borderId="0" xfId="198" applyFont="1" applyFill="1" applyBorder="1" applyAlignment="1" applyProtection="1">
      <alignment horizontal="center"/>
    </xf>
    <xf numFmtId="37" fontId="13" fillId="0" borderId="14" xfId="198" applyNumberFormat="1" applyFont="1" applyFill="1" applyBorder="1" applyProtection="1"/>
    <xf numFmtId="0" fontId="16" fillId="0" borderId="0" xfId="0" quotePrefix="1" applyFont="1" applyAlignment="1">
      <alignment horizontal="left" wrapText="1"/>
    </xf>
    <xf numFmtId="37" fontId="16" fillId="0" borderId="0" xfId="0" applyNumberFormat="1" applyFont="1" applyAlignment="1">
      <alignment horizontal="left"/>
    </xf>
    <xf numFmtId="37" fontId="16" fillId="0" borderId="0" xfId="198" applyNumberFormat="1" applyFont="1" applyFill="1" applyProtection="1"/>
    <xf numFmtId="43" fontId="135" fillId="0" borderId="0" xfId="233" applyFill="1" applyBorder="1" applyProtection="1"/>
    <xf numFmtId="0" fontId="88" fillId="27" borderId="0" xfId="0" applyFont="1" applyFill="1" applyAlignment="1">
      <alignment horizontal="left"/>
    </xf>
    <xf numFmtId="43" fontId="158" fillId="0" borderId="0" xfId="235" applyFont="1" applyFill="1" applyBorder="1" applyProtection="1"/>
    <xf numFmtId="0" fontId="158" fillId="0" borderId="0" xfId="0" applyFont="1"/>
    <xf numFmtId="37" fontId="158" fillId="0" borderId="0" xfId="275" applyNumberFormat="1" applyFont="1" applyFill="1" applyProtection="1"/>
    <xf numFmtId="37" fontId="88" fillId="0" borderId="0" xfId="0" applyNumberFormat="1" applyFont="1"/>
    <xf numFmtId="37" fontId="0" fillId="0" borderId="0" xfId="0" applyNumberFormat="1"/>
    <xf numFmtId="37" fontId="13" fillId="0" borderId="14" xfId="0" applyNumberFormat="1" applyFont="1" applyBorder="1"/>
    <xf numFmtId="0" fontId="13" fillId="0" borderId="0" xfId="0" applyFont="1" applyAlignment="1">
      <alignment horizontal="right"/>
    </xf>
    <xf numFmtId="37" fontId="13" fillId="0" borderId="0" xfId="0" applyNumberFormat="1" applyFont="1"/>
    <xf numFmtId="173" fontId="16" fillId="0" borderId="0" xfId="0" applyNumberFormat="1" applyFont="1"/>
    <xf numFmtId="43" fontId="135" fillId="0" borderId="0" xfId="235" applyFill="1" applyBorder="1" applyProtection="1"/>
    <xf numFmtId="37" fontId="88" fillId="0" borderId="0" xfId="0" applyNumberFormat="1" applyFont="1" applyAlignment="1">
      <alignment horizontal="center"/>
    </xf>
    <xf numFmtId="0" fontId="158" fillId="27" borderId="0" xfId="0" applyFont="1" applyFill="1"/>
    <xf numFmtId="37" fontId="158" fillId="27" borderId="0" xfId="0" applyNumberFormat="1" applyFont="1" applyFill="1"/>
    <xf numFmtId="1" fontId="16" fillId="0" borderId="0" xfId="0" applyNumberFormat="1" applyFont="1" applyAlignment="1">
      <alignment horizontal="left"/>
    </xf>
    <xf numFmtId="173" fontId="88" fillId="0" borderId="0" xfId="275" applyNumberFormat="1" applyFont="1" applyFill="1" applyBorder="1" applyProtection="1"/>
    <xf numFmtId="173" fontId="16" fillId="0" borderId="0" xfId="198" applyNumberFormat="1" applyFont="1" applyFill="1" applyBorder="1" applyProtection="1"/>
    <xf numFmtId="37" fontId="100" fillId="0" borderId="0" xfId="311" applyNumberFormat="1" applyFill="1" applyProtection="1"/>
    <xf numFmtId="43" fontId="88" fillId="27" borderId="0" xfId="0" applyNumberFormat="1" applyFont="1" applyFill="1"/>
    <xf numFmtId="0" fontId="22" fillId="0" borderId="0" xfId="0" applyFont="1" applyAlignment="1">
      <alignment wrapText="1"/>
    </xf>
    <xf numFmtId="0" fontId="22" fillId="0" borderId="0" xfId="791" applyFont="1"/>
    <xf numFmtId="3" fontId="16" fillId="0" borderId="0" xfId="798"/>
    <xf numFmtId="3" fontId="16" fillId="0" borderId="0" xfId="798" applyAlignment="1">
      <alignment wrapText="1"/>
    </xf>
    <xf numFmtId="3" fontId="16" fillId="0" borderId="0" xfId="798" applyAlignment="1">
      <alignment horizontal="left" wrapText="1"/>
    </xf>
    <xf numFmtId="3" fontId="17" fillId="0" borderId="0" xfId="798" applyFont="1" applyAlignment="1">
      <alignment horizontal="left"/>
    </xf>
    <xf numFmtId="3" fontId="16" fillId="0" borderId="0" xfId="798" applyAlignment="1">
      <alignment horizontal="center"/>
    </xf>
    <xf numFmtId="3" fontId="8" fillId="0" borderId="0" xfId="798" applyFont="1" applyAlignment="1">
      <alignment horizontal="left"/>
    </xf>
    <xf numFmtId="3" fontId="16" fillId="0" borderId="0" xfId="798" applyAlignment="1">
      <alignment horizontal="left"/>
    </xf>
    <xf numFmtId="3" fontId="16" fillId="0" borderId="2" xfId="798" applyBorder="1" applyAlignment="1">
      <alignment horizontal="right" wrapText="1"/>
    </xf>
    <xf numFmtId="3" fontId="16" fillId="0" borderId="0" xfId="798" applyAlignment="1">
      <alignment horizontal="right" wrapText="1"/>
    </xf>
    <xf numFmtId="3" fontId="125" fillId="0" borderId="0" xfId="798" applyFont="1" applyAlignment="1">
      <alignment horizontal="center" vertical="top" wrapText="1"/>
    </xf>
    <xf numFmtId="3" fontId="126" fillId="0" borderId="0" xfId="798" applyFont="1" applyAlignment="1">
      <alignment horizontal="center" wrapText="1"/>
    </xf>
    <xf numFmtId="3" fontId="16" fillId="0" borderId="11" xfId="798" applyBorder="1" applyAlignment="1">
      <alignment horizontal="center" wrapText="1"/>
    </xf>
    <xf numFmtId="3" fontId="16" fillId="0" borderId="0" xfId="798" applyAlignment="1">
      <alignment horizontal="center" wrapText="1"/>
    </xf>
    <xf numFmtId="173" fontId="75" fillId="0" borderId="0" xfId="198" applyNumberFormat="1" applyFont="1" applyFill="1" applyBorder="1" applyAlignment="1" applyProtection="1">
      <alignment wrapText="1"/>
    </xf>
    <xf numFmtId="10" fontId="75" fillId="0" borderId="0" xfId="998" applyNumberFormat="1" applyFont="1" applyFill="1" applyBorder="1" applyAlignment="1" applyProtection="1">
      <alignment wrapText="1"/>
    </xf>
    <xf numFmtId="173" fontId="16" fillId="0" borderId="0" xfId="198" applyNumberFormat="1" applyFont="1" applyFill="1" applyBorder="1" applyAlignment="1" applyProtection="1">
      <alignment wrapText="1"/>
    </xf>
    <xf numFmtId="3" fontId="16" fillId="0" borderId="0" xfId="798" applyAlignment="1">
      <alignment vertical="top"/>
    </xf>
    <xf numFmtId="3" fontId="16" fillId="0" borderId="15" xfId="798" applyBorder="1" applyAlignment="1">
      <alignment vertical="top"/>
    </xf>
    <xf numFmtId="174" fontId="75" fillId="0" borderId="15" xfId="602" applyNumberFormat="1" applyFont="1" applyFill="1" applyBorder="1" applyAlignment="1" applyProtection="1">
      <alignment wrapText="1"/>
    </xf>
    <xf numFmtId="0" fontId="17" fillId="0" borderId="0" xfId="0" applyFont="1" applyAlignment="1">
      <alignment horizontal="center"/>
    </xf>
    <xf numFmtId="0" fontId="8" fillId="0" borderId="0" xfId="0" applyFont="1" applyAlignment="1">
      <alignment horizontal="center" vertical="top"/>
    </xf>
    <xf numFmtId="173" fontId="191" fillId="0" borderId="0" xfId="198" applyNumberFormat="1" applyFont="1" applyAlignment="1" applyProtection="1"/>
    <xf numFmtId="173" fontId="190" fillId="0" borderId="0" xfId="198" applyNumberFormat="1" applyFont="1" applyProtection="1"/>
    <xf numFmtId="186" fontId="190" fillId="0" borderId="0" xfId="198" applyNumberFormat="1" applyFont="1" applyProtection="1"/>
    <xf numFmtId="173" fontId="190" fillId="0" borderId="0" xfId="198" applyNumberFormat="1" applyFont="1" applyFill="1" applyBorder="1" applyAlignment="1" applyProtection="1">
      <alignment horizontal="center"/>
    </xf>
    <xf numFmtId="173" fontId="191" fillId="0" borderId="0" xfId="198" applyNumberFormat="1" applyFont="1" applyFill="1" applyAlignment="1" applyProtection="1"/>
    <xf numFmtId="186" fontId="191" fillId="0" borderId="0" xfId="198" applyNumberFormat="1" applyFont="1" applyFill="1" applyAlignment="1" applyProtection="1"/>
    <xf numFmtId="173" fontId="190" fillId="0" borderId="0" xfId="198" applyNumberFormat="1" applyFont="1" applyFill="1" applyBorder="1" applyProtection="1"/>
    <xf numFmtId="173" fontId="191" fillId="0" borderId="0" xfId="198" applyNumberFormat="1" applyFont="1" applyFill="1" applyBorder="1" applyAlignment="1" applyProtection="1"/>
    <xf numFmtId="186" fontId="191" fillId="0" borderId="0" xfId="198" applyNumberFormat="1" applyFont="1" applyFill="1" applyBorder="1" applyAlignment="1" applyProtection="1"/>
    <xf numFmtId="173" fontId="192" fillId="0" borderId="0" xfId="198" applyNumberFormat="1" applyFont="1" applyFill="1" applyBorder="1" applyAlignment="1" applyProtection="1"/>
    <xf numFmtId="186" fontId="192" fillId="0" borderId="0" xfId="198" applyNumberFormat="1" applyFont="1" applyFill="1" applyBorder="1" applyAlignment="1" applyProtection="1"/>
    <xf numFmtId="173" fontId="192" fillId="0" borderId="0" xfId="198" applyNumberFormat="1" applyFont="1" applyFill="1" applyAlignment="1" applyProtection="1"/>
    <xf numFmtId="186" fontId="192" fillId="0" borderId="0" xfId="198" applyNumberFormat="1" applyFont="1" applyFill="1" applyAlignment="1" applyProtection="1"/>
    <xf numFmtId="173" fontId="190" fillId="0" borderId="0" xfId="198" applyNumberFormat="1" applyFont="1" applyAlignment="1" applyProtection="1">
      <alignment horizontal="center"/>
    </xf>
    <xf numFmtId="173" fontId="193" fillId="0" borderId="0" xfId="198" applyNumberFormat="1" applyFont="1" applyFill="1" applyAlignment="1" applyProtection="1">
      <alignment horizontal="center" wrapText="1"/>
    </xf>
    <xf numFmtId="173" fontId="193" fillId="0" borderId="0" xfId="198" applyNumberFormat="1" applyFont="1" applyFill="1" applyAlignment="1" applyProtection="1">
      <alignment horizontal="center"/>
    </xf>
    <xf numFmtId="173" fontId="193" fillId="0" borderId="11" xfId="198" applyNumberFormat="1" applyFont="1" applyFill="1" applyBorder="1" applyAlignment="1" applyProtection="1">
      <alignment horizontal="center"/>
    </xf>
    <xf numFmtId="0" fontId="190" fillId="0" borderId="0" xfId="198" applyNumberFormat="1" applyFont="1" applyAlignment="1" applyProtection="1">
      <alignment horizontal="center"/>
    </xf>
    <xf numFmtId="173" fontId="194" fillId="0" borderId="11" xfId="198" applyNumberFormat="1" applyFont="1" applyBorder="1" applyProtection="1"/>
    <xf numFmtId="173" fontId="190" fillId="0" borderId="11" xfId="198" applyNumberFormat="1" applyFont="1" applyBorder="1" applyAlignment="1" applyProtection="1">
      <alignment horizontal="center"/>
    </xf>
    <xf numFmtId="0" fontId="190" fillId="27" borderId="14" xfId="198" applyNumberFormat="1" applyFont="1" applyFill="1" applyBorder="1" applyAlignment="1" applyProtection="1">
      <alignment horizontal="center"/>
    </xf>
    <xf numFmtId="173" fontId="190" fillId="0" borderId="0" xfId="198" applyNumberFormat="1" applyFont="1" applyBorder="1" applyAlignment="1" applyProtection="1">
      <alignment horizontal="left" wrapText="1"/>
    </xf>
    <xf numFmtId="173" fontId="190" fillId="27" borderId="0" xfId="198" applyNumberFormat="1" applyFont="1" applyFill="1" applyBorder="1" applyAlignment="1" applyProtection="1">
      <alignment horizontal="center"/>
    </xf>
    <xf numFmtId="173" fontId="8" fillId="27" borderId="0" xfId="198" applyNumberFormat="1" applyFont="1" applyFill="1" applyBorder="1" applyAlignment="1" applyProtection="1">
      <alignment horizontal="center"/>
    </xf>
    <xf numFmtId="173" fontId="8" fillId="0" borderId="0" xfId="198" applyNumberFormat="1" applyFont="1" applyFill="1" applyBorder="1" applyAlignment="1" applyProtection="1">
      <alignment horizontal="center"/>
    </xf>
    <xf numFmtId="173" fontId="190" fillId="0" borderId="2" xfId="198" applyNumberFormat="1" applyFont="1" applyBorder="1" applyAlignment="1" applyProtection="1">
      <alignment horizontal="left" wrapText="1"/>
    </xf>
    <xf numFmtId="173" fontId="190" fillId="0" borderId="2" xfId="198" applyNumberFormat="1" applyFont="1" applyBorder="1" applyAlignment="1" applyProtection="1">
      <alignment horizontal="center"/>
    </xf>
    <xf numFmtId="173" fontId="190" fillId="0" borderId="2" xfId="198" applyNumberFormat="1" applyFont="1" applyBorder="1" applyProtection="1"/>
    <xf numFmtId="173" fontId="190" fillId="0" borderId="0" xfId="198" applyNumberFormat="1" applyFont="1" applyBorder="1" applyAlignment="1" applyProtection="1">
      <alignment horizontal="left"/>
    </xf>
    <xf numFmtId="173" fontId="190" fillId="0" borderId="0" xfId="198" applyNumberFormat="1" applyFont="1" applyBorder="1" applyProtection="1"/>
    <xf numFmtId="0" fontId="190" fillId="27" borderId="11" xfId="198" applyNumberFormat="1" applyFont="1" applyFill="1" applyBorder="1" applyAlignment="1" applyProtection="1">
      <alignment horizontal="center"/>
    </xf>
    <xf numFmtId="0" fontId="190" fillId="0" borderId="0" xfId="0" applyFont="1"/>
    <xf numFmtId="173" fontId="190" fillId="0" borderId="0" xfId="198" applyNumberFormat="1" applyFont="1" applyFill="1" applyAlignment="1" applyProtection="1">
      <alignment horizontal="center"/>
    </xf>
    <xf numFmtId="173" fontId="190" fillId="0" borderId="2" xfId="198" applyNumberFormat="1" applyFont="1" applyFill="1" applyBorder="1" applyAlignment="1" applyProtection="1">
      <alignment horizontal="center"/>
    </xf>
    <xf numFmtId="173" fontId="190" fillId="0" borderId="11" xfId="198" applyNumberFormat="1" applyFont="1" applyBorder="1" applyProtection="1"/>
    <xf numFmtId="0" fontId="159" fillId="0" borderId="0" xfId="791" applyFont="1"/>
    <xf numFmtId="0" fontId="16" fillId="0" borderId="0" xfId="791"/>
    <xf numFmtId="49" fontId="11" fillId="0" borderId="0" xfId="878" applyNumberFormat="1" applyFont="1" applyAlignment="1">
      <alignment horizontal="center"/>
    </xf>
    <xf numFmtId="0" fontId="13" fillId="0" borderId="0" xfId="791" applyFont="1" applyAlignment="1">
      <alignment horizontal="center"/>
    </xf>
    <xf numFmtId="0" fontId="13" fillId="0" borderId="0" xfId="791" applyFont="1" applyAlignment="1">
      <alignment horizontal="left"/>
    </xf>
    <xf numFmtId="0" fontId="13" fillId="0" borderId="0" xfId="791" applyFont="1"/>
    <xf numFmtId="3" fontId="17" fillId="0" borderId="0" xfId="791" applyNumberFormat="1" applyFont="1" applyAlignment="1">
      <alignment horizontal="center"/>
    </xf>
    <xf numFmtId="0" fontId="16" fillId="0" borderId="0" xfId="791" applyAlignment="1">
      <alignment horizontal="center" wrapText="1"/>
    </xf>
    <xf numFmtId="0" fontId="21" fillId="0" borderId="0" xfId="878" applyFont="1" applyAlignment="1">
      <alignment horizontal="center" wrapText="1"/>
    </xf>
    <xf numFmtId="0" fontId="16" fillId="0" borderId="0" xfId="791" applyAlignment="1">
      <alignment horizontal="center"/>
    </xf>
    <xf numFmtId="173" fontId="17" fillId="0" borderId="0" xfId="276" applyNumberFormat="1" applyFont="1" applyFill="1" applyBorder="1" applyAlignment="1" applyProtection="1">
      <alignment horizontal="right"/>
    </xf>
    <xf numFmtId="173" fontId="16" fillId="0" borderId="0" xfId="276" applyNumberFormat="1" applyFont="1" applyFill="1" applyBorder="1" applyAlignment="1" applyProtection="1">
      <alignment horizontal="left"/>
    </xf>
    <xf numFmtId="0" fontId="21" fillId="0" borderId="0" xfId="791" applyFont="1" applyAlignment="1">
      <alignment horizontal="center" wrapText="1"/>
    </xf>
    <xf numFmtId="0" fontId="16" fillId="0" borderId="14" xfId="791" applyBorder="1" applyAlignment="1">
      <alignment horizontal="center" wrapText="1"/>
    </xf>
    <xf numFmtId="173" fontId="16" fillId="0" borderId="0" xfId="276" applyNumberFormat="1" applyFont="1" applyFill="1" applyBorder="1" applyAlignment="1" applyProtection="1">
      <alignment horizontal="right"/>
    </xf>
    <xf numFmtId="173" fontId="16" fillId="0" borderId="0" xfId="198" applyNumberFormat="1" applyFont="1" applyFill="1" applyBorder="1" applyAlignment="1" applyProtection="1">
      <alignment horizontal="center" wrapText="1"/>
    </xf>
    <xf numFmtId="3" fontId="8" fillId="0" borderId="0" xfId="791" applyNumberFormat="1" applyFont="1"/>
    <xf numFmtId="37" fontId="100" fillId="0" borderId="0" xfId="311" applyNumberFormat="1" applyProtection="1"/>
    <xf numFmtId="3" fontId="16" fillId="0" borderId="0" xfId="791" applyNumberFormat="1"/>
    <xf numFmtId="173" fontId="16" fillId="0" borderId="0" xfId="198" applyNumberFormat="1" applyFont="1" applyFill="1" applyBorder="1" applyAlignment="1" applyProtection="1"/>
    <xf numFmtId="38" fontId="8" fillId="0" borderId="0" xfId="0" applyNumberFormat="1" applyFont="1"/>
    <xf numFmtId="0" fontId="16" fillId="0" borderId="0" xfId="878" applyFont="1" applyAlignment="1">
      <alignment horizontal="left"/>
    </xf>
    <xf numFmtId="0" fontId="82" fillId="0" borderId="0" xfId="878" applyFont="1"/>
    <xf numFmtId="0" fontId="16" fillId="0" borderId="0" xfId="791" applyAlignment="1">
      <alignment horizontal="left"/>
    </xf>
    <xf numFmtId="3" fontId="88" fillId="27" borderId="0" xfId="0" applyNumberFormat="1" applyFont="1" applyFill="1"/>
    <xf numFmtId="37" fontId="8" fillId="0" borderId="0" xfId="311" applyNumberFormat="1" applyFont="1" applyProtection="1"/>
    <xf numFmtId="37" fontId="16" fillId="0" borderId="0" xfId="791" applyNumberFormat="1"/>
    <xf numFmtId="0" fontId="88" fillId="27" borderId="0" xfId="0" quotePrefix="1" applyFont="1" applyFill="1" applyAlignment="1">
      <alignment horizontal="left" wrapText="1"/>
    </xf>
    <xf numFmtId="3" fontId="88" fillId="27" borderId="0" xfId="0" quotePrefix="1" applyNumberFormat="1" applyFont="1" applyFill="1"/>
    <xf numFmtId="37" fontId="16" fillId="0" borderId="0" xfId="311" applyNumberFormat="1" applyFont="1" applyFill="1" applyProtection="1"/>
    <xf numFmtId="37" fontId="88" fillId="0" borderId="0" xfId="276" applyNumberFormat="1" applyFont="1" applyFill="1" applyProtection="1"/>
    <xf numFmtId="49" fontId="88" fillId="27" borderId="0" xfId="0" applyNumberFormat="1" applyFont="1" applyFill="1"/>
    <xf numFmtId="0" fontId="88" fillId="27" borderId="0" xfId="0" applyFont="1" applyFill="1" applyAlignment="1">
      <alignment wrapText="1"/>
    </xf>
    <xf numFmtId="3" fontId="88" fillId="27" borderId="0" xfId="0" applyNumberFormat="1" applyFont="1" applyFill="1" applyAlignment="1">
      <alignment horizontal="left"/>
    </xf>
    <xf numFmtId="49" fontId="158" fillId="27" borderId="0" xfId="0" applyNumberFormat="1" applyFont="1" applyFill="1"/>
    <xf numFmtId="3" fontId="158" fillId="27" borderId="0" xfId="0" applyNumberFormat="1" applyFont="1" applyFill="1"/>
    <xf numFmtId="37" fontId="158" fillId="0" borderId="0" xfId="791" applyNumberFormat="1" applyFont="1"/>
    <xf numFmtId="37" fontId="158" fillId="0" borderId="0" xfId="311" applyNumberFormat="1" applyFont="1" applyFill="1" applyProtection="1"/>
    <xf numFmtId="37" fontId="100" fillId="0" borderId="0" xfId="311" applyNumberFormat="1" applyFont="1" applyFill="1" applyProtection="1"/>
    <xf numFmtId="3" fontId="87" fillId="0" borderId="0" xfId="0" applyNumberFormat="1" applyFont="1"/>
    <xf numFmtId="173" fontId="87" fillId="0" borderId="0" xfId="275" applyNumberFormat="1" applyFont="1" applyFill="1" applyProtection="1"/>
    <xf numFmtId="37" fontId="87" fillId="0" borderId="0" xfId="275" applyNumberFormat="1" applyFont="1" applyFill="1" applyProtection="1"/>
    <xf numFmtId="37" fontId="87" fillId="0" borderId="0" xfId="791" applyNumberFormat="1" applyFont="1"/>
    <xf numFmtId="0" fontId="87" fillId="0" borderId="0" xfId="0" applyFont="1"/>
    <xf numFmtId="38" fontId="16" fillId="0" borderId="17" xfId="0" applyNumberFormat="1" applyFont="1" applyBorder="1"/>
    <xf numFmtId="37" fontId="16" fillId="0" borderId="17" xfId="0" applyNumberFormat="1" applyFont="1" applyBorder="1"/>
    <xf numFmtId="173" fontId="16" fillId="0" borderId="17" xfId="198" applyNumberFormat="1" applyFont="1" applyFill="1" applyBorder="1" applyProtection="1"/>
    <xf numFmtId="38" fontId="16" fillId="0" borderId="0" xfId="0" quotePrefix="1" applyNumberFormat="1" applyFont="1" applyAlignment="1">
      <alignment horizontal="right"/>
    </xf>
    <xf numFmtId="0" fontId="8" fillId="0" borderId="0" xfId="791" applyFont="1" applyAlignment="1">
      <alignment horizontal="center" vertical="top"/>
    </xf>
    <xf numFmtId="0" fontId="83" fillId="0" borderId="0" xfId="0" applyFont="1" applyAlignment="1">
      <alignment horizontal="center"/>
    </xf>
    <xf numFmtId="0" fontId="16" fillId="0" borderId="0" xfId="0" applyFont="1" applyAlignment="1">
      <alignment horizontal="left"/>
    </xf>
    <xf numFmtId="0" fontId="16" fillId="0" borderId="0" xfId="0" quotePrefix="1" applyFont="1" applyAlignment="1">
      <alignment horizontal="left"/>
    </xf>
    <xf numFmtId="0" fontId="17" fillId="0" borderId="0" xfId="0" quotePrefix="1" applyFont="1" applyAlignment="1">
      <alignment horizontal="left"/>
    </xf>
    <xf numFmtId="173" fontId="16" fillId="0" borderId="11" xfId="0" applyNumberFormat="1" applyFont="1" applyBorder="1"/>
    <xf numFmtId="174" fontId="16" fillId="0" borderId="0" xfId="198" applyNumberFormat="1" applyFont="1" applyFill="1" applyProtection="1"/>
    <xf numFmtId="174" fontId="16" fillId="0" borderId="0" xfId="0" applyNumberFormat="1" applyFont="1"/>
    <xf numFmtId="0" fontId="13" fillId="0" borderId="0" xfId="0" quotePrefix="1" applyFont="1" applyAlignment="1">
      <alignment horizontal="left"/>
    </xf>
    <xf numFmtId="0" fontId="61" fillId="0" borderId="0" xfId="0" applyFont="1"/>
    <xf numFmtId="0" fontId="16" fillId="0" borderId="0" xfId="0" applyFont="1" applyAlignment="1">
      <alignment wrapText="1"/>
    </xf>
    <xf numFmtId="0" fontId="12" fillId="0" borderId="0" xfId="0" applyFont="1" applyAlignment="1">
      <alignment horizontal="left"/>
    </xf>
    <xf numFmtId="0" fontId="21" fillId="0" borderId="0" xfId="0" quotePrefix="1" applyFont="1" applyAlignment="1">
      <alignment horizontal="left"/>
    </xf>
    <xf numFmtId="3" fontId="16" fillId="0" borderId="0" xfId="881" applyNumberFormat="1" applyFont="1" applyProtection="1"/>
    <xf numFmtId="10" fontId="16" fillId="0" borderId="0" xfId="881" applyNumberFormat="1" applyFont="1" applyProtection="1"/>
    <xf numFmtId="167" fontId="16" fillId="0" borderId="0" xfId="881" applyNumberFormat="1" applyFont="1" applyProtection="1"/>
    <xf numFmtId="43" fontId="16" fillId="0" borderId="0" xfId="198" applyFont="1" applyFill="1" applyAlignment="1" applyProtection="1"/>
    <xf numFmtId="172" fontId="16" fillId="0" borderId="0" xfId="881" applyFont="1" applyProtection="1"/>
    <xf numFmtId="0" fontId="16" fillId="0" borderId="18" xfId="0" quotePrefix="1" applyFont="1" applyBorder="1" applyAlignment="1">
      <alignment horizontal="left"/>
    </xf>
    <xf numFmtId="0" fontId="16" fillId="0" borderId="21" xfId="0" applyFont="1" applyBorder="1"/>
    <xf numFmtId="173" fontId="58" fillId="27" borderId="0" xfId="198" applyNumberFormat="1" applyFont="1" applyFill="1" applyBorder="1" applyProtection="1"/>
    <xf numFmtId="0" fontId="16" fillId="0" borderId="0" xfId="198" applyNumberFormat="1" applyFont="1" applyFill="1" applyAlignment="1" applyProtection="1"/>
    <xf numFmtId="0" fontId="16" fillId="0" borderId="20" xfId="0" applyFont="1" applyBorder="1"/>
    <xf numFmtId="10" fontId="16" fillId="0" borderId="0" xfId="881" applyNumberFormat="1" applyFont="1" applyAlignment="1" applyProtection="1">
      <alignment horizontal="right"/>
    </xf>
    <xf numFmtId="3" fontId="13" fillId="0" borderId="0" xfId="881" applyNumberFormat="1" applyFont="1" applyProtection="1"/>
    <xf numFmtId="10" fontId="16" fillId="0" borderId="0" xfId="0" applyNumberFormat="1" applyFont="1"/>
    <xf numFmtId="0" fontId="16" fillId="0" borderId="0" xfId="881" quotePrefix="1" applyNumberFormat="1" applyFont="1" applyAlignment="1" applyProtection="1">
      <alignment horizontal="left"/>
    </xf>
    <xf numFmtId="173" fontId="119" fillId="0" borderId="32" xfId="198" applyNumberFormat="1" applyFont="1" applyFill="1" applyBorder="1" applyProtection="1"/>
    <xf numFmtId="3" fontId="17" fillId="0" borderId="0" xfId="881" applyNumberFormat="1" applyFont="1" applyAlignment="1" applyProtection="1">
      <alignment horizontal="center"/>
    </xf>
    <xf numFmtId="10" fontId="17" fillId="0" borderId="0" xfId="881" applyNumberFormat="1" applyFont="1" applyAlignment="1" applyProtection="1">
      <alignment horizontal="center"/>
    </xf>
    <xf numFmtId="172" fontId="22" fillId="0" borderId="19" xfId="881" applyFont="1" applyBorder="1" applyAlignment="1" applyProtection="1">
      <alignment horizontal="left" wrapText="1"/>
    </xf>
    <xf numFmtId="172" fontId="22" fillId="0" borderId="0" xfId="881" applyFont="1" applyAlignment="1" applyProtection="1">
      <alignment horizontal="left" wrapText="1"/>
    </xf>
    <xf numFmtId="172" fontId="22" fillId="0" borderId="20" xfId="881" applyFont="1" applyBorder="1" applyAlignment="1" applyProtection="1">
      <alignment horizontal="left" wrapText="1"/>
    </xf>
    <xf numFmtId="175" fontId="119" fillId="0" borderId="32" xfId="899" applyNumberFormat="1" applyFont="1" applyFill="1" applyBorder="1" applyProtection="1"/>
    <xf numFmtId="0" fontId="16" fillId="0" borderId="22" xfId="0" applyFont="1" applyBorder="1"/>
    <xf numFmtId="0" fontId="16" fillId="0" borderId="0" xfId="881" applyNumberFormat="1" applyFont="1" applyAlignment="1" applyProtection="1">
      <alignment horizontal="right"/>
    </xf>
    <xf numFmtId="10" fontId="16" fillId="0" borderId="0" xfId="0" applyNumberFormat="1" applyFont="1" applyAlignment="1">
      <alignment horizontal="center"/>
    </xf>
    <xf numFmtId="10" fontId="16" fillId="0" borderId="0" xfId="899" applyNumberFormat="1" applyFont="1" applyFill="1" applyAlignment="1" applyProtection="1">
      <alignment horizontal="center"/>
    </xf>
    <xf numFmtId="10" fontId="16" fillId="0" borderId="0" xfId="899" applyNumberFormat="1" applyFont="1" applyFill="1" applyAlignment="1" applyProtection="1"/>
    <xf numFmtId="169" fontId="16" fillId="0" borderId="0" xfId="881" applyNumberFormat="1" applyFont="1" applyProtection="1"/>
    <xf numFmtId="0" fontId="16" fillId="0" borderId="19" xfId="0" applyFont="1" applyBorder="1" applyAlignment="1">
      <alignment wrapText="1"/>
    </xf>
    <xf numFmtId="0" fontId="16" fillId="0" borderId="20" xfId="0" applyFont="1" applyBorder="1" applyAlignment="1">
      <alignment wrapText="1"/>
    </xf>
    <xf numFmtId="166" fontId="16" fillId="0" borderId="0" xfId="881" applyNumberFormat="1" applyFont="1" applyAlignment="1" applyProtection="1">
      <alignment horizontal="center"/>
    </xf>
    <xf numFmtId="41" fontId="16" fillId="0" borderId="0" xfId="881" applyNumberFormat="1" applyFont="1" applyProtection="1"/>
    <xf numFmtId="172" fontId="16" fillId="0" borderId="19" xfId="881" applyFont="1" applyBorder="1" applyProtection="1"/>
    <xf numFmtId="0" fontId="16" fillId="0" borderId="0" xfId="881" applyNumberFormat="1" applyFont="1" applyAlignment="1" applyProtection="1">
      <alignment horizontal="center"/>
    </xf>
    <xf numFmtId="3" fontId="16" fillId="0" borderId="20" xfId="881" applyNumberFormat="1" applyFont="1" applyBorder="1" applyProtection="1"/>
    <xf numFmtId="41" fontId="16" fillId="0" borderId="0" xfId="881" applyNumberFormat="1" applyFont="1" applyAlignment="1" applyProtection="1">
      <alignment horizontal="center"/>
    </xf>
    <xf numFmtId="10" fontId="17" fillId="0" borderId="0" xfId="899" applyNumberFormat="1" applyFont="1" applyFill="1" applyAlignment="1" applyProtection="1"/>
    <xf numFmtId="169" fontId="17" fillId="0" borderId="0" xfId="881" applyNumberFormat="1" applyFont="1" applyProtection="1"/>
    <xf numFmtId="0" fontId="16" fillId="0" borderId="19" xfId="0" applyFont="1" applyBorder="1"/>
    <xf numFmtId="3" fontId="16" fillId="0" borderId="0" xfId="881" applyNumberFormat="1" applyFont="1" applyAlignment="1" applyProtection="1">
      <alignment horizontal="right"/>
    </xf>
    <xf numFmtId="178" fontId="16" fillId="0" borderId="0" xfId="881" applyNumberFormat="1" applyFont="1" applyProtection="1"/>
    <xf numFmtId="166" fontId="16" fillId="0" borderId="34" xfId="881" applyNumberFormat="1" applyFont="1" applyBorder="1" applyAlignment="1" applyProtection="1">
      <alignment horizontal="left"/>
    </xf>
    <xf numFmtId="0" fontId="16" fillId="0" borderId="6" xfId="881" applyNumberFormat="1" applyFont="1" applyBorder="1" applyAlignment="1" applyProtection="1">
      <alignment horizontal="center"/>
    </xf>
    <xf numFmtId="173" fontId="16" fillId="0" borderId="6" xfId="881" applyNumberFormat="1" applyFont="1" applyBorder="1" applyAlignment="1" applyProtection="1">
      <alignment horizontal="center"/>
    </xf>
    <xf numFmtId="174" fontId="16" fillId="0" borderId="27" xfId="0" applyNumberFormat="1" applyFont="1" applyBorder="1"/>
    <xf numFmtId="0" fontId="16" fillId="0" borderId="23" xfId="0" applyFont="1" applyBorder="1"/>
    <xf numFmtId="10" fontId="16" fillId="0" borderId="0" xfId="881" applyNumberFormat="1" applyFont="1" applyAlignment="1" applyProtection="1">
      <alignment horizontal="left"/>
    </xf>
    <xf numFmtId="0" fontId="127" fillId="0" borderId="0" xfId="0" applyFont="1"/>
    <xf numFmtId="41" fontId="119" fillId="0" borderId="32" xfId="0" applyNumberFormat="1" applyFont="1" applyBorder="1"/>
    <xf numFmtId="3" fontId="16" fillId="0" borderId="24" xfId="0" applyNumberFormat="1" applyFont="1" applyBorder="1"/>
    <xf numFmtId="0" fontId="128" fillId="0" borderId="0" xfId="0" applyFont="1"/>
    <xf numFmtId="10" fontId="119" fillId="0" borderId="19" xfId="0" applyNumberFormat="1" applyFont="1" applyBorder="1"/>
    <xf numFmtId="41" fontId="119" fillId="0" borderId="19" xfId="0" applyNumberFormat="1" applyFont="1" applyBorder="1"/>
    <xf numFmtId="41" fontId="16" fillId="0" borderId="0" xfId="881" quotePrefix="1" applyNumberFormat="1" applyFont="1" applyProtection="1"/>
    <xf numFmtId="41" fontId="16" fillId="0" borderId="0" xfId="881" applyNumberFormat="1" applyFont="1" applyAlignment="1" applyProtection="1">
      <alignment horizontal="right"/>
    </xf>
    <xf numFmtId="177" fontId="16" fillId="0" borderId="11" xfId="881" applyNumberFormat="1" applyFont="1" applyBorder="1" applyProtection="1"/>
    <xf numFmtId="164" fontId="16" fillId="0" borderId="0" xfId="881" applyNumberFormat="1" applyFont="1" applyAlignment="1" applyProtection="1">
      <alignment horizontal="left"/>
    </xf>
    <xf numFmtId="41" fontId="15" fillId="0" borderId="0" xfId="881" quotePrefix="1" applyNumberFormat="1" applyFont="1" applyAlignment="1" applyProtection="1">
      <alignment horizontal="right" vertical="center"/>
    </xf>
    <xf numFmtId="41" fontId="15" fillId="0" borderId="0" xfId="881" quotePrefix="1" applyNumberFormat="1" applyFont="1" applyAlignment="1" applyProtection="1">
      <alignment horizontal="left" vertical="center"/>
    </xf>
    <xf numFmtId="41" fontId="83" fillId="0" borderId="0" xfId="881" applyNumberFormat="1" applyFont="1" applyAlignment="1" applyProtection="1">
      <alignment horizontal="center" vertical="center"/>
    </xf>
    <xf numFmtId="41" fontId="81" fillId="0" borderId="0" xfId="881" applyNumberFormat="1" applyFont="1" applyProtection="1"/>
    <xf numFmtId="3" fontId="16" fillId="0" borderId="0" xfId="881" applyNumberFormat="1" applyFont="1" applyAlignment="1" applyProtection="1">
      <alignment vertical="center" wrapText="1"/>
    </xf>
    <xf numFmtId="41" fontId="16" fillId="0" borderId="0" xfId="881" applyNumberFormat="1" applyFont="1" applyAlignment="1" applyProtection="1">
      <alignment vertical="center"/>
    </xf>
    <xf numFmtId="41" fontId="10" fillId="0" borderId="0" xfId="881" quotePrefix="1" applyNumberFormat="1" applyFont="1" applyAlignment="1" applyProtection="1">
      <alignment horizontal="left"/>
    </xf>
    <xf numFmtId="41" fontId="83" fillId="0" borderId="0" xfId="881" applyNumberFormat="1" applyFont="1" applyAlignment="1" applyProtection="1">
      <alignment horizontal="center"/>
    </xf>
    <xf numFmtId="41" fontId="16" fillId="0" borderId="0" xfId="881" applyNumberFormat="1" applyFont="1" applyAlignment="1" applyProtection="1">
      <alignment horizontal="center" vertical="center"/>
    </xf>
    <xf numFmtId="41" fontId="16" fillId="0" borderId="0" xfId="0" applyNumberFormat="1" applyFont="1"/>
    <xf numFmtId="10" fontId="119" fillId="0" borderId="0" xfId="899" applyNumberFormat="1" applyFont="1" applyFill="1" applyBorder="1" applyProtection="1"/>
    <xf numFmtId="0" fontId="16" fillId="0" borderId="50" xfId="0" applyFont="1" applyBorder="1"/>
    <xf numFmtId="173" fontId="119" fillId="0" borderId="0" xfId="0" applyNumberFormat="1" applyFont="1"/>
    <xf numFmtId="0" fontId="16" fillId="0" borderId="48" xfId="0" applyFont="1" applyBorder="1"/>
    <xf numFmtId="41" fontId="16" fillId="0" borderId="2" xfId="881" applyNumberFormat="1" applyFont="1" applyBorder="1" applyProtection="1"/>
    <xf numFmtId="0" fontId="21" fillId="0" borderId="0" xfId="775" quotePrefix="1" applyFont="1" applyAlignment="1">
      <alignment horizontal="left"/>
    </xf>
    <xf numFmtId="0" fontId="13" fillId="0" borderId="0" xfId="775" applyFont="1"/>
    <xf numFmtId="0" fontId="13" fillId="0" borderId="0" xfId="775" quotePrefix="1" applyFont="1" applyAlignment="1">
      <alignment horizontal="left"/>
    </xf>
    <xf numFmtId="3" fontId="16" fillId="0" borderId="0" xfId="881" applyNumberFormat="1" applyFont="1" applyAlignment="1" applyProtection="1">
      <alignment horizontal="center"/>
    </xf>
    <xf numFmtId="173" fontId="88" fillId="0" borderId="38" xfId="0" applyNumberFormat="1" applyFont="1" applyBorder="1"/>
    <xf numFmtId="41" fontId="16" fillId="0" borderId="11" xfId="881" applyNumberFormat="1" applyFont="1" applyBorder="1" applyProtection="1"/>
    <xf numFmtId="173" fontId="88" fillId="0" borderId="28" xfId="0" applyNumberFormat="1" applyFont="1" applyBorder="1"/>
    <xf numFmtId="174" fontId="88" fillId="0" borderId="39" xfId="0" applyNumberFormat="1" applyFont="1" applyBorder="1"/>
    <xf numFmtId="169" fontId="13" fillId="0" borderId="0" xfId="881" applyNumberFormat="1" applyFont="1" applyProtection="1"/>
    <xf numFmtId="41" fontId="17" fillId="0" borderId="11" xfId="881" applyNumberFormat="1" applyFont="1" applyBorder="1" applyProtection="1"/>
    <xf numFmtId="41" fontId="17" fillId="0" borderId="0" xfId="881" applyNumberFormat="1" applyFont="1" applyProtection="1"/>
    <xf numFmtId="41" fontId="16" fillId="0" borderId="11" xfId="0" applyNumberFormat="1" applyFont="1" applyBorder="1"/>
    <xf numFmtId="41" fontId="17" fillId="0" borderId="0" xfId="0" applyNumberFormat="1" applyFont="1"/>
    <xf numFmtId="10" fontId="16" fillId="0" borderId="11" xfId="0" applyNumberFormat="1" applyFont="1" applyBorder="1"/>
    <xf numFmtId="9" fontId="16" fillId="27" borderId="0" xfId="899" applyFont="1" applyFill="1" applyAlignment="1" applyProtection="1">
      <alignment horizontal="right"/>
    </xf>
    <xf numFmtId="9" fontId="16" fillId="0" borderId="0" xfId="899" applyFont="1" applyFill="1" applyBorder="1" applyProtection="1"/>
    <xf numFmtId="173" fontId="16" fillId="0" borderId="11" xfId="198" applyNumberFormat="1" applyFont="1" applyFill="1" applyBorder="1" applyAlignment="1" applyProtection="1"/>
    <xf numFmtId="41" fontId="71" fillId="0" borderId="0" xfId="0" applyNumberFormat="1" applyFont="1"/>
    <xf numFmtId="10" fontId="17" fillId="0" borderId="0" xfId="0" applyNumberFormat="1" applyFont="1"/>
    <xf numFmtId="164" fontId="16" fillId="0" borderId="0" xfId="899" applyNumberFormat="1" applyFont="1" applyFill="1" applyProtection="1"/>
    <xf numFmtId="0" fontId="15" fillId="0" borderId="0" xfId="0" quotePrefix="1" applyFont="1" applyAlignment="1">
      <alignment horizontal="left"/>
    </xf>
    <xf numFmtId="173" fontId="16" fillId="0" borderId="0" xfId="275" applyNumberFormat="1" applyFont="1" applyProtection="1"/>
    <xf numFmtId="0" fontId="22" fillId="0" borderId="0" xfId="0" applyFont="1" applyAlignment="1">
      <alignment horizontal="right"/>
    </xf>
    <xf numFmtId="0" fontId="22" fillId="0" borderId="0" xfId="0" quotePrefix="1" applyFont="1" applyAlignment="1">
      <alignment horizontal="right"/>
    </xf>
    <xf numFmtId="173" fontId="16" fillId="0" borderId="0" xfId="275" applyNumberFormat="1" applyFont="1" applyBorder="1" applyProtection="1"/>
    <xf numFmtId="0" fontId="89" fillId="0" borderId="0" xfId="0" applyFont="1"/>
    <xf numFmtId="0" fontId="13" fillId="0" borderId="0" xfId="0" applyFont="1" applyAlignment="1">
      <alignment horizontal="left"/>
    </xf>
    <xf numFmtId="0" fontId="11" fillId="27" borderId="0" xfId="275" applyNumberFormat="1" applyFont="1" applyFill="1" applyAlignment="1" applyProtection="1">
      <alignment horizontal="left"/>
    </xf>
    <xf numFmtId="0" fontId="83" fillId="0" borderId="0" xfId="0" applyFont="1"/>
    <xf numFmtId="0" fontId="13" fillId="0" borderId="43" xfId="0" applyFont="1" applyBorder="1"/>
    <xf numFmtId="0" fontId="13" fillId="0" borderId="17" xfId="0" applyFont="1" applyBorder="1"/>
    <xf numFmtId="0" fontId="16" fillId="0" borderId="17" xfId="0" applyFont="1" applyBorder="1"/>
    <xf numFmtId="173" fontId="13" fillId="0" borderId="21" xfId="275" applyNumberFormat="1" applyFont="1" applyBorder="1" applyProtection="1"/>
    <xf numFmtId="0" fontId="11" fillId="0" borderId="0" xfId="275" applyNumberFormat="1" applyFont="1" applyFill="1" applyAlignment="1" applyProtection="1">
      <alignment horizontal="left"/>
    </xf>
    <xf numFmtId="0" fontId="11" fillId="0" borderId="0" xfId="275" applyNumberFormat="1" applyFont="1" applyFill="1" applyBorder="1" applyAlignment="1" applyProtection="1">
      <alignment horizontal="left"/>
    </xf>
    <xf numFmtId="0" fontId="13" fillId="0" borderId="19" xfId="0" applyFont="1" applyBorder="1"/>
    <xf numFmtId="0" fontId="12" fillId="0" borderId="0" xfId="275" applyNumberFormat="1" applyFont="1" applyFill="1" applyBorder="1" applyAlignment="1" applyProtection="1">
      <alignment horizontal="left"/>
    </xf>
    <xf numFmtId="173" fontId="13" fillId="0" borderId="25" xfId="275" applyNumberFormat="1" applyFont="1" applyBorder="1" applyProtection="1"/>
    <xf numFmtId="0" fontId="13" fillId="27" borderId="0" xfId="0" applyFont="1" applyFill="1" applyAlignment="1">
      <alignment horizontal="left"/>
    </xf>
    <xf numFmtId="173" fontId="13" fillId="0" borderId="34" xfId="275" applyNumberFormat="1" applyFont="1" applyBorder="1" applyProtection="1"/>
    <xf numFmtId="173" fontId="16" fillId="0" borderId="6" xfId="275" applyNumberFormat="1" applyFont="1" applyBorder="1" applyProtection="1"/>
    <xf numFmtId="173" fontId="16" fillId="0" borderId="27" xfId="275" applyNumberFormat="1" applyFont="1" applyBorder="1" applyProtection="1"/>
    <xf numFmtId="0" fontId="13" fillId="0" borderId="35" xfId="0" applyFont="1" applyBorder="1" applyAlignment="1">
      <alignment horizontal="center"/>
    </xf>
    <xf numFmtId="0" fontId="13" fillId="28" borderId="36" xfId="0" applyFont="1" applyFill="1" applyBorder="1" applyAlignment="1">
      <alignment horizontal="center"/>
    </xf>
    <xf numFmtId="0" fontId="16" fillId="0" borderId="36" xfId="0" applyFont="1" applyBorder="1" applyAlignment="1">
      <alignment horizontal="left"/>
    </xf>
    <xf numFmtId="0" fontId="13" fillId="0" borderId="36" xfId="0" applyFont="1" applyBorder="1" applyAlignment="1">
      <alignment horizontal="center"/>
    </xf>
    <xf numFmtId="0" fontId="13" fillId="0" borderId="37" xfId="0" applyFont="1" applyBorder="1" applyAlignment="1">
      <alignment horizontal="center"/>
    </xf>
    <xf numFmtId="0" fontId="16" fillId="0" borderId="19" xfId="0" quotePrefix="1" applyFont="1" applyBorder="1" applyAlignment="1">
      <alignment horizontal="left"/>
    </xf>
    <xf numFmtId="173" fontId="16" fillId="27" borderId="20" xfId="275" applyNumberFormat="1" applyFont="1" applyFill="1" applyBorder="1" applyAlignment="1" applyProtection="1">
      <alignment horizontal="right"/>
    </xf>
    <xf numFmtId="0" fontId="13" fillId="0" borderId="21" xfId="0" applyFont="1" applyBorder="1" applyAlignment="1">
      <alignment horizontal="center"/>
    </xf>
    <xf numFmtId="0" fontId="16" fillId="27" borderId="20" xfId="0" applyFont="1" applyFill="1" applyBorder="1" applyAlignment="1">
      <alignment horizontal="right"/>
    </xf>
    <xf numFmtId="173" fontId="16" fillId="0" borderId="20" xfId="0" applyNumberFormat="1" applyFont="1" applyBorder="1" applyAlignment="1">
      <alignment horizontal="right"/>
    </xf>
    <xf numFmtId="173" fontId="16" fillId="0" borderId="0" xfId="0" applyNumberFormat="1" applyFont="1" applyAlignment="1">
      <alignment horizontal="right"/>
    </xf>
    <xf numFmtId="10" fontId="16" fillId="0" borderId="20" xfId="0" applyNumberFormat="1" applyFont="1" applyBorder="1"/>
    <xf numFmtId="173" fontId="16" fillId="0" borderId="20" xfId="275" applyNumberFormat="1" applyFont="1" applyBorder="1" applyProtection="1"/>
    <xf numFmtId="0" fontId="13" fillId="0" borderId="38" xfId="0" applyFont="1" applyBorder="1" applyAlignment="1">
      <alignment horizontal="center"/>
    </xf>
    <xf numFmtId="173" fontId="13" fillId="0" borderId="38" xfId="275" applyNumberFormat="1" applyFont="1" applyBorder="1" applyAlignment="1" applyProtection="1">
      <alignment horizontal="center"/>
    </xf>
    <xf numFmtId="173" fontId="13" fillId="0" borderId="21" xfId="275" quotePrefix="1" applyNumberFormat="1" applyFont="1" applyFill="1" applyBorder="1" applyAlignment="1" applyProtection="1">
      <alignment horizontal="center" wrapText="1"/>
    </xf>
    <xf numFmtId="173" fontId="13" fillId="0" borderId="21" xfId="275" quotePrefix="1" applyNumberFormat="1" applyFont="1" applyBorder="1" applyAlignment="1" applyProtection="1">
      <alignment horizontal="center" wrapText="1"/>
    </xf>
    <xf numFmtId="0" fontId="13" fillId="0" borderId="28" xfId="0" applyFont="1" applyBorder="1" applyAlignment="1">
      <alignment horizontal="center"/>
    </xf>
    <xf numFmtId="173" fontId="13" fillId="0" borderId="38" xfId="275" quotePrefix="1" applyNumberFormat="1" applyFont="1" applyBorder="1" applyAlignment="1" applyProtection="1">
      <alignment horizontal="center" wrapText="1"/>
    </xf>
    <xf numFmtId="173" fontId="13" fillId="0" borderId="38" xfId="275" applyNumberFormat="1" applyFont="1" applyFill="1" applyBorder="1" applyAlignment="1" applyProtection="1">
      <alignment horizontal="center" wrapText="1"/>
    </xf>
    <xf numFmtId="173" fontId="13" fillId="0" borderId="38" xfId="275" applyNumberFormat="1" applyFont="1" applyBorder="1" applyAlignment="1" applyProtection="1">
      <alignment horizontal="center" wrapText="1"/>
    </xf>
    <xf numFmtId="0" fontId="13" fillId="0" borderId="39" xfId="0" applyFont="1" applyBorder="1" applyAlignment="1">
      <alignment horizontal="center" wrapText="1"/>
    </xf>
    <xf numFmtId="0" fontId="13" fillId="0" borderId="39" xfId="0" applyFont="1" applyBorder="1" applyAlignment="1">
      <alignment horizontal="center"/>
    </xf>
    <xf numFmtId="173" fontId="13" fillId="0" borderId="27" xfId="275" applyNumberFormat="1" applyFont="1" applyFill="1" applyBorder="1" applyAlignment="1" applyProtection="1">
      <alignment horizontal="center"/>
    </xf>
    <xf numFmtId="173" fontId="13" fillId="0" borderId="27" xfId="275" applyNumberFormat="1" applyFont="1" applyBorder="1" applyAlignment="1" applyProtection="1">
      <alignment horizontal="center"/>
    </xf>
    <xf numFmtId="173" fontId="13" fillId="0" borderId="39" xfId="275" applyNumberFormat="1" applyFont="1" applyBorder="1" applyAlignment="1" applyProtection="1">
      <alignment horizontal="center"/>
    </xf>
    <xf numFmtId="173" fontId="13" fillId="0" borderId="39" xfId="275" applyNumberFormat="1" applyFont="1" applyFill="1" applyBorder="1" applyAlignment="1" applyProtection="1">
      <alignment horizontal="center"/>
    </xf>
    <xf numFmtId="173" fontId="13" fillId="0" borderId="34" xfId="275" applyNumberFormat="1" applyFont="1" applyFill="1" applyBorder="1" applyAlignment="1" applyProtection="1">
      <alignment horizontal="center"/>
    </xf>
    <xf numFmtId="0" fontId="16" fillId="0" borderId="28" xfId="0" applyFont="1" applyBorder="1" applyAlignment="1">
      <alignment horizontal="center"/>
    </xf>
    <xf numFmtId="173" fontId="16" fillId="0" borderId="38" xfId="275" applyNumberFormat="1" applyFont="1" applyBorder="1" applyProtection="1"/>
    <xf numFmtId="174" fontId="16" fillId="0" borderId="20" xfId="0" applyNumberFormat="1" applyFont="1" applyBorder="1"/>
    <xf numFmtId="174" fontId="16" fillId="0" borderId="38" xfId="0" applyNumberFormat="1" applyFont="1" applyBorder="1"/>
    <xf numFmtId="174" fontId="16" fillId="0" borderId="28" xfId="0" applyNumberFormat="1" applyFont="1" applyBorder="1"/>
    <xf numFmtId="173" fontId="16" fillId="0" borderId="28" xfId="0" applyNumberFormat="1" applyFont="1" applyBorder="1"/>
    <xf numFmtId="173" fontId="16" fillId="0" borderId="28" xfId="275" applyNumberFormat="1" applyFont="1" applyBorder="1" applyProtection="1"/>
    <xf numFmtId="174" fontId="16" fillId="27" borderId="28" xfId="0" applyNumberFormat="1" applyFont="1" applyFill="1" applyBorder="1"/>
    <xf numFmtId="173" fontId="16" fillId="0" borderId="28" xfId="275" applyNumberFormat="1" applyFont="1" applyFill="1" applyBorder="1" applyProtection="1"/>
    <xf numFmtId="0" fontId="16" fillId="0" borderId="39" xfId="0" applyFont="1" applyBorder="1" applyAlignment="1">
      <alignment horizontal="center"/>
    </xf>
    <xf numFmtId="173" fontId="16" fillId="0" borderId="39" xfId="0" applyNumberFormat="1" applyFont="1" applyBorder="1"/>
    <xf numFmtId="173" fontId="16" fillId="0" borderId="39" xfId="275" applyNumberFormat="1" applyFont="1" applyBorder="1" applyProtection="1"/>
    <xf numFmtId="173" fontId="16" fillId="0" borderId="39" xfId="275" applyNumberFormat="1" applyFont="1" applyFill="1" applyBorder="1" applyProtection="1"/>
    <xf numFmtId="174" fontId="16" fillId="27" borderId="39" xfId="0" applyNumberFormat="1" applyFont="1" applyFill="1" applyBorder="1"/>
    <xf numFmtId="174" fontId="16" fillId="0" borderId="39" xfId="0" applyNumberFormat="1" applyFont="1" applyBorder="1"/>
    <xf numFmtId="0" fontId="22" fillId="0" borderId="0" xfId="0" quotePrefix="1" applyFont="1" applyAlignment="1">
      <alignment horizontal="center"/>
    </xf>
    <xf numFmtId="0" fontId="22" fillId="0" borderId="0" xfId="0" applyFont="1" applyAlignment="1">
      <alignment horizontal="center"/>
    </xf>
    <xf numFmtId="0" fontId="22" fillId="0" borderId="0" xfId="791" applyFont="1" applyAlignment="1">
      <alignment horizontal="center"/>
    </xf>
    <xf numFmtId="1" fontId="119" fillId="0" borderId="32" xfId="0" quotePrefix="1" applyNumberFormat="1" applyFont="1" applyBorder="1" applyAlignment="1">
      <alignment horizontal="right"/>
    </xf>
    <xf numFmtId="10" fontId="119" fillId="0" borderId="32" xfId="0" applyNumberFormat="1" applyFont="1" applyBorder="1"/>
    <xf numFmtId="1" fontId="16" fillId="26" borderId="0" xfId="881" applyNumberFormat="1" applyFont="1" applyFill="1" applyAlignment="1" applyProtection="1">
      <alignment horizontal="center"/>
    </xf>
    <xf numFmtId="167" fontId="119" fillId="0" borderId="32" xfId="0" applyNumberFormat="1" applyFont="1" applyBorder="1"/>
    <xf numFmtId="41" fontId="16" fillId="0" borderId="19" xfId="881" quotePrefix="1" applyNumberFormat="1" applyFont="1" applyBorder="1" applyAlignment="1" applyProtection="1">
      <alignment horizontal="left"/>
    </xf>
    <xf numFmtId="41" fontId="16" fillId="0" borderId="0" xfId="881" quotePrefix="1" applyNumberFormat="1" applyFont="1" applyAlignment="1" applyProtection="1">
      <alignment horizontal="right"/>
    </xf>
    <xf numFmtId="41" fontId="16" fillId="0" borderId="19" xfId="881" quotePrefix="1" applyNumberFormat="1" applyFont="1" applyBorder="1" applyAlignment="1" applyProtection="1">
      <alignment horizontal="left" vertical="center"/>
    </xf>
    <xf numFmtId="41" fontId="16" fillId="0" borderId="0" xfId="881" quotePrefix="1" applyNumberFormat="1" applyFont="1" applyAlignment="1" applyProtection="1">
      <alignment horizontal="right" vertical="center"/>
    </xf>
    <xf numFmtId="0" fontId="16" fillId="0" borderId="33" xfId="0" applyFont="1" applyBorder="1" applyAlignment="1">
      <alignment horizontal="left"/>
    </xf>
    <xf numFmtId="0" fontId="16" fillId="0" borderId="30" xfId="0" applyFont="1" applyBorder="1" applyAlignment="1">
      <alignment horizontal="right"/>
    </xf>
    <xf numFmtId="173" fontId="16" fillId="0" borderId="30" xfId="0" applyNumberFormat="1" applyFont="1" applyBorder="1"/>
    <xf numFmtId="173" fontId="16" fillId="0" borderId="31" xfId="0" applyNumberFormat="1" applyFont="1" applyBorder="1"/>
    <xf numFmtId="173" fontId="16" fillId="0" borderId="0" xfId="881" quotePrefix="1" applyNumberFormat="1" applyFont="1" applyAlignment="1" applyProtection="1">
      <alignment horizontal="center"/>
    </xf>
    <xf numFmtId="0" fontId="16" fillId="0" borderId="25" xfId="0" applyFont="1" applyBorder="1"/>
    <xf numFmtId="173" fontId="119" fillId="0" borderId="42" xfId="0" applyNumberFormat="1" applyFont="1" applyBorder="1"/>
    <xf numFmtId="0" fontId="16" fillId="0" borderId="26" xfId="0" applyFont="1" applyBorder="1"/>
    <xf numFmtId="173" fontId="119" fillId="0" borderId="33" xfId="0" applyNumberFormat="1" applyFont="1" applyBorder="1"/>
    <xf numFmtId="0" fontId="16" fillId="0" borderId="27" xfId="0" applyFont="1" applyBorder="1"/>
    <xf numFmtId="174" fontId="88" fillId="0" borderId="28" xfId="0" applyNumberFormat="1" applyFont="1" applyBorder="1"/>
    <xf numFmtId="0" fontId="15" fillId="0" borderId="0" xfId="775" quotePrefix="1" applyFont="1" applyAlignment="1">
      <alignment horizontal="left"/>
    </xf>
    <xf numFmtId="0" fontId="16" fillId="0" borderId="0" xfId="775" applyAlignment="1">
      <alignment horizontal="center"/>
    </xf>
    <xf numFmtId="10" fontId="16" fillId="0" borderId="0" xfId="775" applyNumberFormat="1"/>
    <xf numFmtId="0" fontId="22" fillId="0" borderId="0" xfId="775" applyFont="1" applyAlignment="1">
      <alignment horizontal="right"/>
    </xf>
    <xf numFmtId="0" fontId="22" fillId="0" borderId="0" xfId="775" quotePrefix="1" applyFont="1" applyAlignment="1">
      <alignment horizontal="right"/>
    </xf>
    <xf numFmtId="0" fontId="61" fillId="0" borderId="0" xfId="775" applyFont="1"/>
    <xf numFmtId="1" fontId="13" fillId="0" borderId="47" xfId="775" applyNumberFormat="1" applyFont="1" applyBorder="1" applyAlignment="1">
      <alignment horizontal="center"/>
    </xf>
    <xf numFmtId="172" fontId="16" fillId="0" borderId="40" xfId="881" applyFont="1" applyBorder="1" applyAlignment="1" applyProtection="1">
      <alignment horizontal="center"/>
    </xf>
    <xf numFmtId="172" fontId="16" fillId="0" borderId="40" xfId="881" quotePrefix="1" applyFont="1" applyBorder="1" applyAlignment="1" applyProtection="1">
      <alignment horizontal="center"/>
    </xf>
    <xf numFmtId="3" fontId="16" fillId="0" borderId="41" xfId="881" applyNumberFormat="1" applyFont="1" applyBorder="1" applyAlignment="1" applyProtection="1">
      <alignment horizontal="center"/>
    </xf>
    <xf numFmtId="0" fontId="83" fillId="0" borderId="0" xfId="775" applyFont="1"/>
    <xf numFmtId="0" fontId="16" fillId="0" borderId="38" xfId="775" applyBorder="1"/>
    <xf numFmtId="173" fontId="16" fillId="0" borderId="19" xfId="275" quotePrefix="1" applyNumberFormat="1" applyFont="1" applyBorder="1" applyAlignment="1" applyProtection="1">
      <alignment horizontal="right"/>
    </xf>
    <xf numFmtId="173" fontId="13" fillId="0" borderId="0" xfId="275" applyNumberFormat="1" applyFont="1" applyBorder="1" applyProtection="1"/>
    <xf numFmtId="173" fontId="16" fillId="0" borderId="20" xfId="775" applyNumberFormat="1" applyBorder="1"/>
    <xf numFmtId="0" fontId="12" fillId="0" borderId="0" xfId="775" applyFont="1" applyAlignment="1">
      <alignment horizontal="left"/>
    </xf>
    <xf numFmtId="0" fontId="11" fillId="0" borderId="44" xfId="275" applyNumberFormat="1" applyFont="1" applyFill="1" applyBorder="1" applyAlignment="1" applyProtection="1">
      <alignment horizontal="left"/>
    </xf>
    <xf numFmtId="173" fontId="16" fillId="0" borderId="45" xfId="275" quotePrefix="1" applyNumberFormat="1" applyFont="1" applyBorder="1" applyAlignment="1" applyProtection="1">
      <alignment horizontal="right"/>
    </xf>
    <xf numFmtId="173" fontId="13" fillId="0" borderId="11" xfId="275" applyNumberFormat="1" applyFont="1" applyBorder="1" applyProtection="1"/>
    <xf numFmtId="173" fontId="16" fillId="0" borderId="25" xfId="775" applyNumberFormat="1" applyBorder="1"/>
    <xf numFmtId="0" fontId="16" fillId="0" borderId="34" xfId="775" quotePrefix="1" applyBorder="1" applyAlignment="1">
      <alignment horizontal="right"/>
    </xf>
    <xf numFmtId="173" fontId="13" fillId="0" borderId="6" xfId="275" applyNumberFormat="1" applyFont="1" applyFill="1" applyBorder="1" applyAlignment="1" applyProtection="1">
      <alignment horizontal="left"/>
    </xf>
    <xf numFmtId="173" fontId="13" fillId="0" borderId="27" xfId="275" applyNumberFormat="1" applyFont="1" applyFill="1" applyBorder="1" applyAlignment="1" applyProtection="1">
      <alignment horizontal="left"/>
    </xf>
    <xf numFmtId="173" fontId="16" fillId="0" borderId="0" xfId="775" applyNumberFormat="1" applyAlignment="1">
      <alignment horizontal="left"/>
    </xf>
    <xf numFmtId="173" fontId="16" fillId="0" borderId="0" xfId="775" applyNumberFormat="1"/>
    <xf numFmtId="0" fontId="16" fillId="0" borderId="0" xfId="775" applyAlignment="1">
      <alignment wrapText="1"/>
    </xf>
    <xf numFmtId="0" fontId="16" fillId="0" borderId="35" xfId="775" applyBorder="1" applyAlignment="1">
      <alignment horizontal="center"/>
    </xf>
    <xf numFmtId="0" fontId="16" fillId="0" borderId="19" xfId="775" quotePrefix="1" applyBorder="1" applyAlignment="1">
      <alignment horizontal="left"/>
    </xf>
    <xf numFmtId="43" fontId="11" fillId="27" borderId="46" xfId="198" applyFont="1" applyFill="1" applyBorder="1" applyProtection="1"/>
    <xf numFmtId="1" fontId="13" fillId="0" borderId="21" xfId="775" applyNumberFormat="1" applyFont="1" applyBorder="1" applyAlignment="1">
      <alignment horizontal="center"/>
    </xf>
    <xf numFmtId="0" fontId="13" fillId="0" borderId="0" xfId="775" applyFont="1" applyAlignment="1">
      <alignment horizontal="center"/>
    </xf>
    <xf numFmtId="0" fontId="16" fillId="0" borderId="19" xfId="775" applyBorder="1"/>
    <xf numFmtId="43" fontId="11" fillId="27" borderId="0" xfId="198" applyFont="1" applyFill="1" applyBorder="1" applyProtection="1"/>
    <xf numFmtId="173" fontId="16" fillId="0" borderId="20" xfId="775" applyNumberFormat="1" applyBorder="1" applyAlignment="1">
      <alignment horizontal="right"/>
    </xf>
    <xf numFmtId="173" fontId="16" fillId="0" borderId="0" xfId="775" applyNumberFormat="1" applyAlignment="1">
      <alignment horizontal="right"/>
    </xf>
    <xf numFmtId="10" fontId="16" fillId="0" borderId="20" xfId="775" applyNumberFormat="1" applyBorder="1"/>
    <xf numFmtId="0" fontId="16" fillId="0" borderId="34" xfId="775" applyBorder="1"/>
    <xf numFmtId="0" fontId="16" fillId="0" borderId="6" xfId="775" applyBorder="1" applyAlignment="1">
      <alignment horizontal="center"/>
    </xf>
    <xf numFmtId="0" fontId="16" fillId="0" borderId="6" xfId="775" applyBorder="1"/>
    <xf numFmtId="0" fontId="13" fillId="0" borderId="38" xfId="775" applyFont="1" applyBorder="1" applyAlignment="1">
      <alignment horizontal="center" wrapText="1"/>
    </xf>
    <xf numFmtId="173" fontId="13" fillId="0" borderId="38" xfId="275" applyNumberFormat="1" applyFont="1" applyFill="1" applyBorder="1" applyAlignment="1" applyProtection="1">
      <alignment horizontal="center"/>
    </xf>
    <xf numFmtId="173" fontId="13" fillId="0" borderId="38" xfId="275" quotePrefix="1" applyNumberFormat="1" applyFont="1" applyFill="1" applyBorder="1" applyAlignment="1" applyProtection="1">
      <alignment horizontal="center" wrapText="1"/>
    </xf>
    <xf numFmtId="0" fontId="13" fillId="0" borderId="28" xfId="775" applyFont="1" applyBorder="1" applyAlignment="1">
      <alignment horizontal="center" wrapText="1"/>
    </xf>
    <xf numFmtId="0" fontId="13" fillId="0" borderId="39" xfId="775" applyFont="1" applyBorder="1" applyAlignment="1">
      <alignment horizontal="center"/>
    </xf>
    <xf numFmtId="0" fontId="13" fillId="0" borderId="6" xfId="775" applyFont="1" applyBorder="1" applyAlignment="1">
      <alignment horizontal="center"/>
    </xf>
    <xf numFmtId="0" fontId="13" fillId="0" borderId="28" xfId="775" applyFont="1" applyBorder="1" applyAlignment="1">
      <alignment horizontal="center"/>
    </xf>
    <xf numFmtId="0" fontId="16" fillId="0" borderId="28" xfId="775" applyBorder="1" applyAlignment="1">
      <alignment horizontal="center"/>
    </xf>
    <xf numFmtId="173" fontId="16" fillId="0" borderId="28" xfId="775" applyNumberFormat="1" applyBorder="1"/>
    <xf numFmtId="173" fontId="16" fillId="0" borderId="38" xfId="775" applyNumberFormat="1" applyBorder="1"/>
    <xf numFmtId="170" fontId="16" fillId="0" borderId="28" xfId="275" applyNumberFormat="1" applyFont="1" applyFill="1" applyBorder="1" applyProtection="1"/>
    <xf numFmtId="170" fontId="16" fillId="0" borderId="20" xfId="275" applyNumberFormat="1" applyFont="1" applyFill="1" applyBorder="1" applyProtection="1"/>
    <xf numFmtId="174" fontId="16" fillId="0" borderId="28" xfId="775" applyNumberFormat="1" applyBorder="1"/>
    <xf numFmtId="174" fontId="16" fillId="27" borderId="38" xfId="775" applyNumberFormat="1" applyFill="1" applyBorder="1"/>
    <xf numFmtId="174" fontId="16" fillId="0" borderId="38" xfId="775" applyNumberFormat="1" applyBorder="1"/>
    <xf numFmtId="173" fontId="16" fillId="0" borderId="20" xfId="275" applyNumberFormat="1" applyFont="1" applyFill="1" applyBorder="1" applyProtection="1"/>
    <xf numFmtId="174" fontId="16" fillId="27" borderId="28" xfId="775" applyNumberFormat="1" applyFill="1" applyBorder="1"/>
    <xf numFmtId="0" fontId="16" fillId="0" borderId="39" xfId="775" applyBorder="1" applyAlignment="1">
      <alignment horizontal="center"/>
    </xf>
    <xf numFmtId="173" fontId="16" fillId="0" borderId="6" xfId="775" applyNumberFormat="1" applyBorder="1"/>
    <xf numFmtId="173" fontId="16" fillId="0" borderId="39" xfId="775" applyNumberFormat="1" applyBorder="1"/>
    <xf numFmtId="173" fontId="16" fillId="0" borderId="27" xfId="275" applyNumberFormat="1" applyFont="1" applyFill="1" applyBorder="1" applyProtection="1"/>
    <xf numFmtId="174" fontId="16" fillId="0" borderId="39" xfId="775" applyNumberFormat="1" applyBorder="1"/>
    <xf numFmtId="174" fontId="16" fillId="27" borderId="39" xfId="775" applyNumberFormat="1" applyFill="1" applyBorder="1"/>
    <xf numFmtId="0" fontId="16" fillId="0" borderId="0" xfId="775" quotePrefix="1" applyAlignment="1">
      <alignment horizontal="left"/>
    </xf>
    <xf numFmtId="174" fontId="16" fillId="0" borderId="0" xfId="775" applyNumberFormat="1"/>
    <xf numFmtId="0" fontId="75" fillId="0" borderId="0" xfId="0" applyFont="1"/>
    <xf numFmtId="0" fontId="68" fillId="0" borderId="0" xfId="0" applyFont="1" applyAlignment="1">
      <alignment horizontal="right"/>
    </xf>
    <xf numFmtId="0" fontId="74" fillId="0" borderId="0" xfId="883" applyFont="1"/>
    <xf numFmtId="0" fontId="75" fillId="0" borderId="0" xfId="883" applyFont="1"/>
    <xf numFmtId="0" fontId="76" fillId="0" borderId="0" xfId="883" applyFont="1" applyAlignment="1">
      <alignment horizontal="right"/>
    </xf>
    <xf numFmtId="0" fontId="129" fillId="0" borderId="0" xfId="883" applyFont="1"/>
    <xf numFmtId="0" fontId="77" fillId="0" borderId="0" xfId="883" applyFont="1" applyAlignment="1">
      <alignment horizontal="right"/>
    </xf>
    <xf numFmtId="0" fontId="16" fillId="0" borderId="0" xfId="883" applyFont="1"/>
    <xf numFmtId="0" fontId="15" fillId="0" borderId="0" xfId="883" applyFont="1" applyAlignment="1">
      <alignment horizontal="center"/>
    </xf>
    <xf numFmtId="0" fontId="9" fillId="0" borderId="0" xfId="883" applyFont="1"/>
    <xf numFmtId="0" fontId="10" fillId="0" borderId="11" xfId="883" applyFont="1" applyBorder="1" applyAlignment="1">
      <alignment horizontal="center"/>
    </xf>
    <xf numFmtId="0" fontId="77" fillId="0" borderId="0" xfId="0" applyFont="1" applyAlignment="1">
      <alignment horizontal="right"/>
    </xf>
    <xf numFmtId="0" fontId="15" fillId="0" borderId="0" xfId="883" applyFont="1"/>
    <xf numFmtId="0" fontId="11" fillId="0" borderId="0" xfId="883" applyFont="1" applyAlignment="1">
      <alignment horizontal="center"/>
    </xf>
    <xf numFmtId="0" fontId="130" fillId="0" borderId="0" xfId="883" applyFont="1" applyAlignment="1">
      <alignment horizontal="center"/>
    </xf>
    <xf numFmtId="0" fontId="10" fillId="0" borderId="0" xfId="883" applyFont="1"/>
    <xf numFmtId="173" fontId="11" fillId="27" borderId="0" xfId="198" applyNumberFormat="1" applyFont="1" applyFill="1" applyBorder="1" applyProtection="1"/>
    <xf numFmtId="173" fontId="11" fillId="0" borderId="0" xfId="883" applyNumberFormat="1" applyFont="1"/>
    <xf numFmtId="173" fontId="16" fillId="0" borderId="0" xfId="883" applyNumberFormat="1" applyFont="1"/>
    <xf numFmtId="0" fontId="11" fillId="0" borderId="0" xfId="883" applyFont="1"/>
    <xf numFmtId="43" fontId="11" fillId="0" borderId="0" xfId="535" applyFont="1" applyFill="1" applyProtection="1"/>
    <xf numFmtId="43" fontId="11" fillId="0" borderId="0" xfId="198" applyFont="1" applyFill="1" applyBorder="1" applyProtection="1"/>
    <xf numFmtId="0" fontId="131" fillId="0" borderId="0" xfId="0" applyFont="1"/>
    <xf numFmtId="43" fontId="16" fillId="0" borderId="0" xfId="535" applyFont="1" applyFill="1" applyProtection="1"/>
    <xf numFmtId="0" fontId="81" fillId="0" borderId="0" xfId="0" applyFont="1"/>
    <xf numFmtId="0" fontId="9" fillId="0" borderId="0" xfId="883" quotePrefix="1" applyFont="1" applyAlignment="1">
      <alignment horizontal="left"/>
    </xf>
    <xf numFmtId="173" fontId="11" fillId="0" borderId="2" xfId="883" applyNumberFormat="1" applyFont="1" applyBorder="1"/>
    <xf numFmtId="0" fontId="81" fillId="0" borderId="0" xfId="883" applyFont="1"/>
    <xf numFmtId="173" fontId="11" fillId="0" borderId="2" xfId="198" applyNumberFormat="1" applyFont="1" applyFill="1" applyBorder="1" applyProtection="1"/>
    <xf numFmtId="0" fontId="68" fillId="0" borderId="0" xfId="883" applyFont="1"/>
    <xf numFmtId="0" fontId="10" fillId="0" borderId="0" xfId="883" applyFont="1" applyAlignment="1">
      <alignment horizontal="right"/>
    </xf>
    <xf numFmtId="0" fontId="12" fillId="0" borderId="0" xfId="883" quotePrefix="1" applyFont="1" applyAlignment="1">
      <alignment horizontal="left"/>
    </xf>
    <xf numFmtId="0" fontId="13" fillId="0" borderId="0" xfId="883" applyFont="1"/>
    <xf numFmtId="0" fontId="13" fillId="0" borderId="0" xfId="883" applyFont="1" applyAlignment="1">
      <alignment horizontal="left"/>
    </xf>
    <xf numFmtId="0" fontId="12" fillId="0" borderId="0" xfId="876" applyFont="1"/>
    <xf numFmtId="0" fontId="12" fillId="0" borderId="0" xfId="883" applyFont="1"/>
    <xf numFmtId="0" fontId="130" fillId="0" borderId="0" xfId="883" applyFont="1" applyAlignment="1">
      <alignment horizontal="center" vertical="top"/>
    </xf>
    <xf numFmtId="0" fontId="115" fillId="0" borderId="0" xfId="883" applyFont="1"/>
    <xf numFmtId="0" fontId="114" fillId="0" borderId="0" xfId="883" applyFont="1"/>
    <xf numFmtId="170" fontId="11" fillId="0" borderId="14" xfId="883" applyNumberFormat="1" applyFont="1" applyBorder="1"/>
    <xf numFmtId="0" fontId="78" fillId="0" borderId="0" xfId="883" applyFont="1"/>
    <xf numFmtId="0" fontId="114" fillId="0" borderId="0" xfId="883" applyFont="1" applyAlignment="1">
      <alignment vertical="top"/>
    </xf>
    <xf numFmtId="0" fontId="115" fillId="0" borderId="0" xfId="883" applyFont="1" applyAlignment="1">
      <alignment vertical="top"/>
    </xf>
    <xf numFmtId="43" fontId="115" fillId="0" borderId="0" xfId="535" applyFont="1" applyFill="1" applyAlignment="1" applyProtection="1">
      <alignment vertical="top"/>
    </xf>
    <xf numFmtId="173" fontId="11" fillId="0" borderId="0" xfId="198" applyNumberFormat="1" applyFont="1" applyFill="1" applyBorder="1" applyProtection="1"/>
    <xf numFmtId="43" fontId="115" fillId="0" borderId="0" xfId="535" applyFont="1" applyFill="1" applyProtection="1"/>
    <xf numFmtId="170" fontId="9" fillId="0" borderId="15" xfId="883" applyNumberFormat="1" applyFont="1" applyBorder="1" applyAlignment="1">
      <alignment horizontal="right"/>
    </xf>
    <xf numFmtId="0" fontId="132" fillId="0" borderId="0" xfId="883" applyFont="1"/>
    <xf numFmtId="0" fontId="13" fillId="0" borderId="0" xfId="883" applyFont="1" applyAlignment="1">
      <alignment horizontal="center"/>
    </xf>
    <xf numFmtId="3" fontId="12" fillId="0" borderId="0" xfId="0" applyNumberFormat="1" applyFont="1"/>
    <xf numFmtId="1" fontId="16" fillId="0" borderId="0" xfId="0" applyNumberFormat="1" applyFont="1" applyAlignment="1">
      <alignment horizontal="center"/>
    </xf>
    <xf numFmtId="43" fontId="81" fillId="27" borderId="0" xfId="198" applyFont="1" applyFill="1" applyBorder="1" applyProtection="1"/>
    <xf numFmtId="0" fontId="16" fillId="0" borderId="0" xfId="0" applyFont="1" applyAlignment="1">
      <alignment horizontal="right"/>
    </xf>
    <xf numFmtId="5" fontId="16" fillId="0" borderId="14" xfId="198" applyNumberFormat="1" applyFont="1" applyFill="1" applyBorder="1" applyAlignment="1" applyProtection="1"/>
    <xf numFmtId="173" fontId="16" fillId="0" borderId="0" xfId="198" applyNumberFormat="1" applyFont="1" applyFill="1" applyAlignment="1" applyProtection="1"/>
    <xf numFmtId="1" fontId="8" fillId="27" borderId="38" xfId="198" applyNumberFormat="1" applyFont="1" applyFill="1" applyBorder="1" applyAlignment="1" applyProtection="1">
      <alignment horizontal="center" wrapText="1"/>
    </xf>
    <xf numFmtId="0" fontId="196" fillId="0" borderId="0" xfId="0" applyFont="1" applyAlignment="1">
      <alignment horizontal="center" wrapText="1"/>
    </xf>
    <xf numFmtId="0" fontId="196" fillId="0" borderId="38" xfId="0" applyFont="1" applyBorder="1" applyAlignment="1">
      <alignment horizontal="center" wrapText="1"/>
    </xf>
    <xf numFmtId="0" fontId="196" fillId="0" borderId="0" xfId="0" applyFont="1" applyAlignment="1">
      <alignment horizontal="right"/>
    </xf>
    <xf numFmtId="1" fontId="88" fillId="27" borderId="0" xfId="198" applyNumberFormat="1" applyFont="1" applyFill="1" applyBorder="1" applyAlignment="1" applyProtection="1">
      <alignment horizontal="center"/>
    </xf>
    <xf numFmtId="0" fontId="196" fillId="0" borderId="28" xfId="0" applyFont="1" applyBorder="1" applyAlignment="1">
      <alignment horizontal="center" wrapText="1"/>
    </xf>
    <xf numFmtId="0" fontId="196" fillId="0" borderId="28" xfId="0" applyFont="1" applyBorder="1"/>
    <xf numFmtId="170" fontId="196" fillId="0" borderId="0" xfId="0" applyNumberFormat="1" applyFont="1" applyAlignment="1">
      <alignment horizontal="right"/>
    </xf>
    <xf numFmtId="170" fontId="196" fillId="0" borderId="0" xfId="0" applyNumberFormat="1" applyFont="1"/>
    <xf numFmtId="170" fontId="11" fillId="0" borderId="0" xfId="0" applyNumberFormat="1" applyFont="1"/>
    <xf numFmtId="173" fontId="196" fillId="0" borderId="0" xfId="0" applyNumberFormat="1" applyFont="1"/>
    <xf numFmtId="0" fontId="196" fillId="0" borderId="0" xfId="0" applyFont="1" applyAlignment="1">
      <alignment horizontal="center"/>
    </xf>
    <xf numFmtId="173" fontId="196" fillId="0" borderId="6" xfId="0" applyNumberFormat="1" applyFont="1" applyBorder="1"/>
    <xf numFmtId="0" fontId="196" fillId="0" borderId="6" xfId="0" applyFont="1" applyBorder="1" applyAlignment="1">
      <alignment horizontal="center"/>
    </xf>
    <xf numFmtId="0" fontId="11" fillId="0" borderId="6" xfId="0" applyFont="1" applyBorder="1"/>
    <xf numFmtId="173" fontId="196" fillId="0" borderId="0" xfId="0" applyNumberFormat="1" applyFont="1" applyAlignment="1">
      <alignment horizontal="left"/>
    </xf>
    <xf numFmtId="0" fontId="85" fillId="0" borderId="0" xfId="0" applyFont="1" applyAlignment="1">
      <alignment horizontal="center" wrapText="1"/>
    </xf>
    <xf numFmtId="173" fontId="85" fillId="0" borderId="0" xfId="0" applyNumberFormat="1" applyFont="1" applyAlignment="1">
      <alignment horizontal="center" wrapText="1"/>
    </xf>
    <xf numFmtId="0" fontId="85" fillId="0" borderId="0" xfId="0" applyFont="1" applyAlignment="1">
      <alignment horizontal="center"/>
    </xf>
    <xf numFmtId="173" fontId="85" fillId="0" borderId="0" xfId="0" applyNumberFormat="1" applyFont="1" applyAlignment="1">
      <alignment horizontal="center"/>
    </xf>
    <xf numFmtId="0" fontId="85" fillId="0" borderId="0" xfId="0" applyFont="1" applyAlignment="1">
      <alignment horizontal="left"/>
    </xf>
    <xf numFmtId="175" fontId="196" fillId="0" borderId="0" xfId="912" applyNumberFormat="1" applyFont="1" applyFill="1" applyProtection="1"/>
    <xf numFmtId="0" fontId="197" fillId="0" borderId="0" xfId="0" applyFont="1" applyAlignment="1">
      <alignment horizontal="center"/>
    </xf>
    <xf numFmtId="0" fontId="198" fillId="0" borderId="0" xfId="0" applyFont="1" applyAlignment="1">
      <alignment horizontal="left"/>
    </xf>
    <xf numFmtId="14" fontId="196" fillId="0" borderId="0" xfId="0" applyNumberFormat="1" applyFont="1" applyAlignment="1">
      <alignment horizontal="left"/>
    </xf>
    <xf numFmtId="173" fontId="85" fillId="0" borderId="0" xfId="202" applyNumberFormat="1" applyFont="1" applyFill="1" applyProtection="1"/>
    <xf numFmtId="173" fontId="11" fillId="0" borderId="0" xfId="202" applyNumberFormat="1" applyFont="1" applyFill="1" applyProtection="1"/>
    <xf numFmtId="173" fontId="85" fillId="0" borderId="0" xfId="202" applyNumberFormat="1" applyFont="1" applyFill="1" applyBorder="1" applyAlignment="1" applyProtection="1">
      <alignment horizontal="center"/>
    </xf>
    <xf numFmtId="10" fontId="8" fillId="0" borderId="0" xfId="900" applyNumberFormat="1" applyFont="1" applyProtection="1"/>
    <xf numFmtId="0" fontId="197" fillId="0" borderId="0" xfId="0" applyFont="1"/>
    <xf numFmtId="173" fontId="85" fillId="0" borderId="0" xfId="202" applyNumberFormat="1" applyFont="1" applyFill="1" applyAlignment="1" applyProtection="1">
      <alignment horizontal="center"/>
    </xf>
    <xf numFmtId="0" fontId="198" fillId="0" borderId="0" xfId="0" applyFont="1"/>
    <xf numFmtId="173" fontId="85" fillId="0" borderId="0" xfId="0" applyNumberFormat="1" applyFont="1"/>
    <xf numFmtId="43" fontId="8" fillId="0" borderId="0" xfId="0" applyNumberFormat="1" applyFont="1"/>
    <xf numFmtId="14" fontId="196" fillId="0" borderId="6" xfId="0" applyNumberFormat="1" applyFont="1" applyBorder="1" applyAlignment="1">
      <alignment horizontal="left"/>
    </xf>
    <xf numFmtId="0" fontId="196" fillId="0" borderId="2" xfId="0" applyFont="1" applyBorder="1"/>
    <xf numFmtId="0" fontId="11" fillId="0" borderId="2" xfId="0" applyFont="1" applyBorder="1"/>
    <xf numFmtId="173" fontId="11" fillId="0" borderId="2" xfId="202" applyNumberFormat="1" applyFont="1" applyFill="1" applyBorder="1" applyProtection="1"/>
    <xf numFmtId="173" fontId="11" fillId="0" borderId="0" xfId="202" applyNumberFormat="1" applyFont="1" applyFill="1" applyBorder="1" applyProtection="1"/>
    <xf numFmtId="0" fontId="196" fillId="0" borderId="11" xfId="0" applyFont="1" applyBorder="1"/>
    <xf numFmtId="0" fontId="11" fillId="0" borderId="11" xfId="0" applyFont="1" applyBorder="1"/>
    <xf numFmtId="173" fontId="11" fillId="0" borderId="11" xfId="202" applyNumberFormat="1" applyFont="1" applyFill="1" applyBorder="1" applyProtection="1"/>
    <xf numFmtId="0" fontId="196" fillId="0" borderId="0" xfId="0" applyFont="1" applyAlignment="1">
      <alignment wrapText="1"/>
    </xf>
    <xf numFmtId="43" fontId="8" fillId="0" borderId="0" xfId="775" applyNumberFormat="1" applyFont="1"/>
    <xf numFmtId="0" fontId="12" fillId="0" borderId="0" xfId="0" applyFont="1"/>
    <xf numFmtId="0" fontId="197" fillId="0" borderId="0" xfId="0" applyFont="1" applyAlignment="1">
      <alignment horizontal="left"/>
    </xf>
    <xf numFmtId="0" fontId="8" fillId="0" borderId="2" xfId="0" applyFont="1" applyBorder="1"/>
    <xf numFmtId="0" fontId="8" fillId="0" borderId="11" xfId="0" applyFont="1" applyBorder="1"/>
    <xf numFmtId="179" fontId="12" fillId="0" borderId="0" xfId="198" applyNumberFormat="1" applyFont="1" applyFill="1" applyAlignment="1" applyProtection="1"/>
    <xf numFmtId="41" fontId="11" fillId="27" borderId="0" xfId="1176" applyNumberFormat="1" applyFont="1" applyFill="1"/>
    <xf numFmtId="41" fontId="11" fillId="0" borderId="0" xfId="1176" applyNumberFormat="1" applyFont="1"/>
    <xf numFmtId="0" fontId="159" fillId="0" borderId="0" xfId="1528" applyFont="1"/>
    <xf numFmtId="0" fontId="8" fillId="0" borderId="0" xfId="1528"/>
    <xf numFmtId="0" fontId="11" fillId="0" borderId="0" xfId="1409" applyFont="1"/>
    <xf numFmtId="0" fontId="8" fillId="0" borderId="0" xfId="1528" applyAlignment="1">
      <alignment horizontal="center"/>
    </xf>
    <xf numFmtId="0" fontId="8" fillId="0" borderId="0" xfId="1528" applyAlignment="1">
      <alignment horizontal="right"/>
    </xf>
    <xf numFmtId="0" fontId="12" fillId="0" borderId="0" xfId="1409" applyFont="1"/>
    <xf numFmtId="0" fontId="8" fillId="0" borderId="0" xfId="1173" applyAlignment="1">
      <alignment horizontal="left"/>
    </xf>
    <xf numFmtId="0" fontId="8" fillId="0" borderId="53" xfId="1528" applyBorder="1" applyAlignment="1">
      <alignment horizontal="center" wrapText="1"/>
    </xf>
    <xf numFmtId="0" fontId="13" fillId="0" borderId="0" xfId="1173" applyFont="1" applyAlignment="1">
      <alignment horizontal="center" wrapText="1"/>
    </xf>
    <xf numFmtId="0" fontId="13" fillId="0" borderId="50" xfId="1173" applyFont="1" applyBorder="1" applyAlignment="1">
      <alignment horizontal="center" wrapText="1"/>
    </xf>
    <xf numFmtId="0" fontId="8" fillId="0" borderId="0" xfId="1528" applyAlignment="1">
      <alignment wrapText="1"/>
    </xf>
    <xf numFmtId="0" fontId="8" fillId="0" borderId="51" xfId="1528" applyBorder="1" applyAlignment="1">
      <alignment horizontal="center"/>
    </xf>
    <xf numFmtId="0" fontId="161" fillId="0" borderId="0" xfId="1528" applyFont="1"/>
    <xf numFmtId="3" fontId="24" fillId="0" borderId="49" xfId="1409" applyNumberFormat="1" applyFont="1" applyBorder="1" applyAlignment="1">
      <alignment horizontal="center" wrapText="1"/>
    </xf>
    <xf numFmtId="3" fontId="24" fillId="0" borderId="11" xfId="1409" applyNumberFormat="1" applyFont="1" applyBorder="1" applyAlignment="1">
      <alignment horizontal="center" wrapText="1"/>
    </xf>
    <xf numFmtId="3" fontId="24" fillId="0" borderId="48" xfId="1409" applyNumberFormat="1" applyFont="1" applyBorder="1" applyAlignment="1">
      <alignment horizontal="center" wrapText="1"/>
    </xf>
    <xf numFmtId="0" fontId="8" fillId="0" borderId="49" xfId="1528" applyBorder="1" applyAlignment="1">
      <alignment horizontal="center"/>
    </xf>
    <xf numFmtId="0" fontId="8" fillId="0" borderId="66" xfId="1528" applyBorder="1" applyAlignment="1">
      <alignment horizontal="center"/>
    </xf>
    <xf numFmtId="173" fontId="8" fillId="0" borderId="15" xfId="1201" applyNumberFormat="1" applyFont="1" applyBorder="1" applyProtection="1"/>
    <xf numFmtId="0" fontId="8" fillId="0" borderId="0" xfId="1523"/>
    <xf numFmtId="0" fontId="13" fillId="0" borderId="0" xfId="1173" applyFont="1"/>
    <xf numFmtId="0" fontId="8" fillId="0" borderId="0" xfId="1528" applyAlignment="1">
      <alignment horizontal="center" wrapText="1"/>
    </xf>
    <xf numFmtId="0" fontId="13" fillId="0" borderId="11" xfId="1173" applyFont="1" applyBorder="1"/>
    <xf numFmtId="0" fontId="13" fillId="0" borderId="11" xfId="1173" applyFont="1" applyBorder="1" applyAlignment="1">
      <alignment horizontal="center" wrapText="1"/>
    </xf>
    <xf numFmtId="0" fontId="13" fillId="0" borderId="2" xfId="1173" applyFont="1" applyBorder="1" applyAlignment="1">
      <alignment horizontal="center"/>
    </xf>
    <xf numFmtId="0" fontId="8" fillId="0" borderId="15" xfId="1528" applyBorder="1"/>
    <xf numFmtId="173" fontId="8" fillId="0" borderId="15" xfId="1528" applyNumberFormat="1" applyBorder="1"/>
    <xf numFmtId="0" fontId="161" fillId="0" borderId="0" xfId="1528" applyFont="1" applyAlignment="1">
      <alignment horizontal="center"/>
    </xf>
    <xf numFmtId="0" fontId="17" fillId="0" borderId="0" xfId="1528" applyFont="1" applyAlignment="1">
      <alignment horizontal="center"/>
    </xf>
    <xf numFmtId="0" fontId="8" fillId="0" borderId="48" xfId="1173" applyBorder="1" applyAlignment="1">
      <alignment horizontal="left"/>
    </xf>
    <xf numFmtId="0" fontId="13" fillId="0" borderId="0" xfId="1173" applyFont="1" applyAlignment="1">
      <alignment wrapText="1"/>
    </xf>
    <xf numFmtId="10" fontId="19" fillId="0" borderId="0" xfId="1429" applyNumberFormat="1" applyFont="1" applyFill="1" applyAlignment="1" applyProtection="1">
      <alignment horizontal="center"/>
    </xf>
    <xf numFmtId="0" fontId="58" fillId="0" borderId="11" xfId="1409" applyFont="1" applyBorder="1"/>
    <xf numFmtId="173" fontId="58" fillId="0" borderId="11" xfId="1201" applyNumberFormat="1" applyFont="1" applyFill="1" applyBorder="1" applyAlignment="1" applyProtection="1">
      <alignment horizontal="center"/>
    </xf>
    <xf numFmtId="0" fontId="58" fillId="0" borderId="0" xfId="1409" applyFont="1" applyAlignment="1">
      <alignment horizontal="center"/>
    </xf>
    <xf numFmtId="0" fontId="35" fillId="0" borderId="0" xfId="1409" applyFont="1"/>
    <xf numFmtId="0" fontId="58" fillId="0" borderId="0" xfId="1409" applyFont="1"/>
    <xf numFmtId="0" fontId="8" fillId="0" borderId="0" xfId="878" applyAlignment="1">
      <alignment horizontal="center"/>
    </xf>
    <xf numFmtId="0" fontId="8" fillId="0" borderId="0" xfId="878"/>
    <xf numFmtId="38" fontId="8" fillId="0" borderId="0" xfId="0" quotePrefix="1" applyNumberFormat="1" applyFont="1" applyAlignment="1">
      <alignment horizontal="center"/>
    </xf>
    <xf numFmtId="41" fontId="8" fillId="0" borderId="0" xfId="878" applyNumberFormat="1"/>
    <xf numFmtId="0" fontId="8" fillId="0" borderId="0" xfId="878" applyAlignment="1">
      <alignment horizontal="center" vertical="top"/>
    </xf>
    <xf numFmtId="41" fontId="8" fillId="0" borderId="11" xfId="878" applyNumberFormat="1" applyBorder="1"/>
    <xf numFmtId="41" fontId="8" fillId="0" borderId="11" xfId="878" applyNumberFormat="1" applyBorder="1" applyAlignment="1">
      <alignment vertical="top"/>
    </xf>
    <xf numFmtId="37" fontId="8" fillId="0" borderId="0" xfId="878" applyNumberFormat="1"/>
    <xf numFmtId="37" fontId="8" fillId="0" borderId="0" xfId="0" applyNumberFormat="1" applyFont="1"/>
    <xf numFmtId="0" fontId="87" fillId="0" borderId="0" xfId="878" applyFont="1" applyAlignment="1">
      <alignment horizontal="center"/>
    </xf>
    <xf numFmtId="0" fontId="13" fillId="0" borderId="0" xfId="1176" quotePrefix="1" applyFont="1"/>
    <xf numFmtId="41" fontId="87" fillId="0" borderId="0" xfId="878" applyNumberFormat="1" applyFont="1"/>
    <xf numFmtId="37" fontId="8" fillId="0" borderId="14" xfId="0" applyNumberFormat="1" applyFont="1" applyBorder="1"/>
    <xf numFmtId="37" fontId="8" fillId="0" borderId="0" xfId="878" applyNumberFormat="1" applyAlignment="1">
      <alignment vertical="center"/>
    </xf>
    <xf numFmtId="185" fontId="8" fillId="0" borderId="0" xfId="0" quotePrefix="1" applyNumberFormat="1" applyFont="1" applyAlignment="1">
      <alignment horizontal="center"/>
    </xf>
    <xf numFmtId="185" fontId="8" fillId="0" borderId="0" xfId="0" applyNumberFormat="1" applyFont="1" applyAlignment="1">
      <alignment horizontal="center"/>
    </xf>
    <xf numFmtId="38" fontId="8" fillId="0" borderId="0" xfId="0" applyNumberFormat="1" applyFont="1" applyAlignment="1">
      <alignment horizontal="left"/>
    </xf>
    <xf numFmtId="173" fontId="8" fillId="27" borderId="0" xfId="198" applyNumberFormat="1" applyFont="1" applyFill="1" applyBorder="1" applyProtection="1"/>
    <xf numFmtId="43" fontId="8" fillId="0" borderId="0" xfId="198" applyFont="1" applyFill="1" applyProtection="1"/>
    <xf numFmtId="173" fontId="8" fillId="0" borderId="0" xfId="198" applyNumberFormat="1" applyFont="1" applyFill="1" applyProtection="1"/>
    <xf numFmtId="43" fontId="88" fillId="27" borderId="0" xfId="1201" applyFont="1" applyFill="1" applyBorder="1" applyProtection="1"/>
    <xf numFmtId="43" fontId="8" fillId="0" borderId="0" xfId="1201" applyFont="1" applyFill="1" applyBorder="1" applyProtection="1"/>
    <xf numFmtId="173" fontId="88" fillId="27" borderId="0" xfId="1201" applyNumberFormat="1" applyFont="1" applyFill="1" applyBorder="1" applyProtection="1"/>
    <xf numFmtId="43" fontId="88" fillId="27" borderId="0" xfId="1201" applyFont="1" applyFill="1" applyBorder="1" applyAlignment="1" applyProtection="1">
      <alignment horizontal="center"/>
    </xf>
    <xf numFmtId="37" fontId="8" fillId="0" borderId="0" xfId="1201" applyNumberFormat="1" applyFont="1" applyFill="1" applyProtection="1"/>
    <xf numFmtId="43" fontId="88" fillId="27" borderId="0" xfId="1201" applyFont="1" applyFill="1" applyBorder="1" applyAlignment="1" applyProtection="1">
      <alignment horizontal="left"/>
    </xf>
    <xf numFmtId="43" fontId="8" fillId="0" borderId="0" xfId="1529" applyBorder="1" applyProtection="1"/>
    <xf numFmtId="43" fontId="8" fillId="0" borderId="0" xfId="198" applyFont="1" applyFill="1" applyBorder="1" applyProtection="1"/>
    <xf numFmtId="0" fontId="8" fillId="0" borderId="0" xfId="0" quotePrefix="1" applyFont="1" applyAlignment="1">
      <alignment horizontal="left" wrapText="1"/>
    </xf>
    <xf numFmtId="37" fontId="8" fillId="0" borderId="0" xfId="0" applyNumberFormat="1" applyFont="1" applyAlignment="1">
      <alignment horizontal="left"/>
    </xf>
    <xf numFmtId="37" fontId="8" fillId="0" borderId="0" xfId="198" applyNumberFormat="1" applyFont="1" applyFill="1" applyProtection="1"/>
    <xf numFmtId="43" fontId="8" fillId="0" borderId="0" xfId="1530" applyFill="1" applyBorder="1" applyProtection="1"/>
    <xf numFmtId="173" fontId="8" fillId="0" borderId="0" xfId="0" applyNumberFormat="1" applyFont="1"/>
    <xf numFmtId="43" fontId="8" fillId="0" borderId="0" xfId="1531" applyFill="1" applyBorder="1" applyProtection="1"/>
    <xf numFmtId="1" fontId="8" fillId="0" borderId="0" xfId="0" applyNumberFormat="1" applyFont="1" applyAlignment="1">
      <alignment horizontal="left"/>
    </xf>
    <xf numFmtId="173" fontId="88" fillId="0" borderId="0" xfId="1201" applyNumberFormat="1" applyFont="1" applyFill="1" applyBorder="1" applyProtection="1"/>
    <xf numFmtId="173" fontId="8" fillId="0" borderId="0" xfId="198" applyNumberFormat="1" applyFont="1" applyFill="1" applyBorder="1" applyProtection="1"/>
    <xf numFmtId="37" fontId="8" fillId="0" borderId="0" xfId="1183" applyNumberFormat="1" applyFill="1" applyProtection="1"/>
    <xf numFmtId="0" fontId="22" fillId="0" borderId="0" xfId="1409" applyFont="1"/>
    <xf numFmtId="3" fontId="8" fillId="0" borderId="0" xfId="1532"/>
    <xf numFmtId="3" fontId="8" fillId="0" borderId="0" xfId="1532" applyAlignment="1">
      <alignment wrapText="1"/>
    </xf>
    <xf numFmtId="3" fontId="8" fillId="0" borderId="0" xfId="1532" applyAlignment="1">
      <alignment horizontal="left" wrapText="1"/>
    </xf>
    <xf numFmtId="3" fontId="17" fillId="0" borderId="0" xfId="1532" applyFont="1" applyAlignment="1">
      <alignment horizontal="left"/>
    </xf>
    <xf numFmtId="3" fontId="8" fillId="0" borderId="0" xfId="1532" applyAlignment="1">
      <alignment horizontal="center"/>
    </xf>
    <xf numFmtId="3" fontId="8" fillId="0" borderId="0" xfId="1532" applyAlignment="1">
      <alignment horizontal="left"/>
    </xf>
    <xf numFmtId="3" fontId="8" fillId="0" borderId="2" xfId="1532" applyBorder="1" applyAlignment="1">
      <alignment horizontal="right" wrapText="1"/>
    </xf>
    <xf numFmtId="3" fontId="8" fillId="0" borderId="0" xfId="1532" applyAlignment="1">
      <alignment horizontal="right" wrapText="1"/>
    </xf>
    <xf numFmtId="3" fontId="125" fillId="0" borderId="0" xfId="1532" applyFont="1" applyAlignment="1">
      <alignment horizontal="center" vertical="top" wrapText="1"/>
    </xf>
    <xf numFmtId="3" fontId="126" fillId="0" borderId="0" xfId="1532" applyFont="1" applyAlignment="1">
      <alignment horizontal="center" wrapText="1"/>
    </xf>
    <xf numFmtId="3" fontId="8" fillId="0" borderId="11" xfId="1532" applyBorder="1" applyAlignment="1">
      <alignment horizontal="center" wrapText="1"/>
    </xf>
    <xf numFmtId="3" fontId="8" fillId="0" borderId="0" xfId="1532" applyAlignment="1">
      <alignment horizontal="center" wrapText="1"/>
    </xf>
    <xf numFmtId="10" fontId="75" fillId="0" borderId="0" xfId="999" applyNumberFormat="1" applyFont="1" applyFill="1" applyBorder="1" applyAlignment="1" applyProtection="1">
      <alignment wrapText="1"/>
    </xf>
    <xf numFmtId="173" fontId="8" fillId="0" borderId="0" xfId="198" applyNumberFormat="1" applyFont="1" applyFill="1" applyBorder="1" applyAlignment="1" applyProtection="1">
      <alignment wrapText="1"/>
    </xf>
    <xf numFmtId="3" fontId="8" fillId="0" borderId="0" xfId="1532" applyAlignment="1">
      <alignment vertical="top"/>
    </xf>
    <xf numFmtId="3" fontId="8" fillId="0" borderId="15" xfId="1532" applyBorder="1" applyAlignment="1">
      <alignment vertical="top"/>
    </xf>
    <xf numFmtId="174" fontId="75" fillId="0" borderId="15" xfId="603" applyNumberFormat="1" applyFont="1" applyFill="1" applyBorder="1" applyAlignment="1" applyProtection="1">
      <alignment wrapText="1"/>
    </xf>
    <xf numFmtId="0" fontId="159" fillId="0" borderId="0" xfId="1409" applyFont="1"/>
    <xf numFmtId="0" fontId="8" fillId="0" borderId="0" xfId="1409"/>
    <xf numFmtId="0" fontId="11" fillId="0" borderId="0" xfId="1409" applyFont="1" applyAlignment="1">
      <alignment horizontal="center"/>
    </xf>
    <xf numFmtId="0" fontId="13" fillId="0" borderId="0" xfId="1409" applyFont="1" applyAlignment="1">
      <alignment horizontal="center"/>
    </xf>
    <xf numFmtId="0" fontId="13" fillId="0" borderId="0" xfId="1409" applyFont="1" applyAlignment="1">
      <alignment horizontal="left"/>
    </xf>
    <xf numFmtId="0" fontId="13" fillId="0" borderId="0" xfId="1409" applyFont="1"/>
    <xf numFmtId="3" fontId="17" fillId="0" borderId="0" xfId="1409" applyNumberFormat="1" applyFont="1" applyAlignment="1">
      <alignment horizontal="center"/>
    </xf>
    <xf numFmtId="0" fontId="8" fillId="0" borderId="0" xfId="1409" applyAlignment="1">
      <alignment horizontal="center" wrapText="1"/>
    </xf>
    <xf numFmtId="0" fontId="8" fillId="0" borderId="0" xfId="1409" applyAlignment="1">
      <alignment horizontal="center"/>
    </xf>
    <xf numFmtId="0" fontId="21" fillId="0" borderId="0" xfId="1409" applyFont="1" applyAlignment="1">
      <alignment horizontal="center"/>
    </xf>
    <xf numFmtId="173" fontId="17" fillId="0" borderId="0" xfId="1201" applyNumberFormat="1" applyFont="1" applyFill="1" applyBorder="1" applyAlignment="1" applyProtection="1">
      <alignment horizontal="right"/>
    </xf>
    <xf numFmtId="173" fontId="8" fillId="0" borderId="0" xfId="1201" applyNumberFormat="1" applyFont="1" applyFill="1" applyBorder="1" applyAlignment="1" applyProtection="1">
      <alignment horizontal="left"/>
    </xf>
    <xf numFmtId="0" fontId="21" fillId="0" borderId="0" xfId="1409" applyFont="1" applyAlignment="1">
      <alignment horizontal="center" wrapText="1"/>
    </xf>
    <xf numFmtId="0" fontId="8" fillId="0" borderId="14" xfId="1409" applyBorder="1" applyAlignment="1">
      <alignment horizontal="center" wrapText="1"/>
    </xf>
    <xf numFmtId="173" fontId="8" fillId="0" borderId="0" xfId="1201" applyNumberFormat="1" applyFont="1" applyFill="1" applyBorder="1" applyAlignment="1" applyProtection="1">
      <alignment horizontal="right"/>
    </xf>
    <xf numFmtId="173" fontId="8" fillId="0" borderId="0" xfId="198" applyNumberFormat="1" applyFont="1" applyFill="1" applyBorder="1" applyAlignment="1" applyProtection="1">
      <alignment horizontal="center" wrapText="1"/>
    </xf>
    <xf numFmtId="3" fontId="8" fillId="0" borderId="0" xfId="1409" applyNumberFormat="1"/>
    <xf numFmtId="37" fontId="8" fillId="0" borderId="0" xfId="1183" applyNumberFormat="1" applyProtection="1"/>
    <xf numFmtId="173" fontId="8" fillId="0" borderId="0" xfId="198" applyNumberFormat="1" applyFont="1" applyFill="1" applyBorder="1" applyAlignment="1" applyProtection="1"/>
    <xf numFmtId="0" fontId="8" fillId="0" borderId="0" xfId="878" applyAlignment="1">
      <alignment horizontal="left"/>
    </xf>
    <xf numFmtId="0" fontId="8" fillId="0" borderId="0" xfId="1409" applyAlignment="1">
      <alignment horizontal="left"/>
    </xf>
    <xf numFmtId="37" fontId="8" fillId="0" borderId="0" xfId="1409" applyNumberFormat="1"/>
    <xf numFmtId="0" fontId="88" fillId="27" borderId="0" xfId="0" quotePrefix="1" applyFont="1" applyFill="1" applyAlignment="1">
      <alignment horizontal="left"/>
    </xf>
    <xf numFmtId="37" fontId="8" fillId="0" borderId="0" xfId="1183" applyNumberFormat="1" applyFont="1" applyFill="1" applyProtection="1"/>
    <xf numFmtId="37" fontId="88" fillId="0" borderId="0" xfId="1201" applyNumberFormat="1" applyFont="1" applyFill="1" applyProtection="1"/>
    <xf numFmtId="1" fontId="88" fillId="27" borderId="0" xfId="0" applyNumberFormat="1" applyFont="1" applyFill="1" applyAlignment="1">
      <alignment horizontal="left"/>
    </xf>
    <xf numFmtId="37" fontId="158" fillId="0" borderId="0" xfId="1409" applyNumberFormat="1" applyFont="1"/>
    <xf numFmtId="37" fontId="158" fillId="0" borderId="0" xfId="1183" applyNumberFormat="1" applyFont="1" applyFill="1" applyProtection="1"/>
    <xf numFmtId="173" fontId="87" fillId="0" borderId="0" xfId="1201" applyNumberFormat="1" applyFont="1" applyFill="1" applyProtection="1"/>
    <xf numFmtId="37" fontId="87" fillId="0" borderId="0" xfId="1201" applyNumberFormat="1" applyFont="1" applyFill="1" applyProtection="1"/>
    <xf numFmtId="37" fontId="87" fillId="0" borderId="0" xfId="1409" applyNumberFormat="1" applyFont="1"/>
    <xf numFmtId="38" fontId="8" fillId="0" borderId="17" xfId="0" applyNumberFormat="1" applyFont="1" applyBorder="1"/>
    <xf numFmtId="37" fontId="8" fillId="0" borderId="17" xfId="0" applyNumberFormat="1" applyFont="1" applyBorder="1"/>
    <xf numFmtId="173" fontId="8" fillId="0" borderId="17" xfId="198" applyNumberFormat="1" applyFont="1" applyFill="1" applyBorder="1" applyProtection="1"/>
    <xf numFmtId="38" fontId="8" fillId="0" borderId="0" xfId="0" quotePrefix="1" applyNumberFormat="1" applyFont="1" applyAlignment="1">
      <alignment horizontal="right"/>
    </xf>
    <xf numFmtId="0" fontId="8" fillId="0" borderId="0" xfId="1409" applyAlignment="1">
      <alignment horizontal="center" vertical="top"/>
    </xf>
    <xf numFmtId="0" fontId="8" fillId="0" borderId="0" xfId="0" applyFont="1" applyAlignment="1">
      <alignment horizontal="left"/>
    </xf>
    <xf numFmtId="173" fontId="8" fillId="0" borderId="11" xfId="0" applyNumberFormat="1" applyFont="1" applyBorder="1"/>
    <xf numFmtId="173" fontId="8" fillId="0" borderId="14" xfId="0" applyNumberFormat="1" applyFont="1" applyBorder="1"/>
    <xf numFmtId="174" fontId="8" fillId="0" borderId="0" xfId="198" applyNumberFormat="1" applyFont="1" applyFill="1" applyProtection="1"/>
    <xf numFmtId="174" fontId="8" fillId="0" borderId="0" xfId="0" applyNumberFormat="1" applyFont="1"/>
    <xf numFmtId="0" fontId="21" fillId="0" borderId="0" xfId="1176" applyFont="1" applyAlignment="1">
      <alignment horizontal="center"/>
    </xf>
    <xf numFmtId="3" fontId="8" fillId="0" borderId="0" xfId="881" applyNumberFormat="1" applyFont="1" applyProtection="1"/>
    <xf numFmtId="10" fontId="8" fillId="0" borderId="0" xfId="881" applyNumberFormat="1" applyFont="1" applyProtection="1"/>
    <xf numFmtId="167" fontId="8" fillId="0" borderId="0" xfId="881" applyNumberFormat="1" applyFont="1" applyProtection="1"/>
    <xf numFmtId="172" fontId="8" fillId="0" borderId="0" xfId="881" applyFont="1" applyProtection="1"/>
    <xf numFmtId="0" fontId="8" fillId="0" borderId="18" xfId="0" quotePrefix="1" applyFont="1" applyBorder="1" applyAlignment="1">
      <alignment horizontal="left"/>
    </xf>
    <xf numFmtId="0" fontId="8" fillId="0" borderId="21" xfId="0" applyFont="1" applyBorder="1"/>
    <xf numFmtId="0" fontId="8" fillId="0" borderId="0" xfId="198" applyNumberFormat="1" applyFont="1" applyFill="1" applyAlignment="1" applyProtection="1"/>
    <xf numFmtId="0" fontId="88" fillId="0" borderId="32" xfId="0" quotePrefix="1" applyFont="1" applyBorder="1" applyAlignment="1">
      <alignment horizontal="right"/>
    </xf>
    <xf numFmtId="0" fontId="8" fillId="0" borderId="20" xfId="0" applyFont="1" applyBorder="1"/>
    <xf numFmtId="10" fontId="8" fillId="0" borderId="0" xfId="881" applyNumberFormat="1" applyFont="1" applyAlignment="1" applyProtection="1">
      <alignment horizontal="right"/>
    </xf>
    <xf numFmtId="0" fontId="8" fillId="0" borderId="0" xfId="881" quotePrefix="1" applyNumberFormat="1" applyFont="1" applyAlignment="1" applyProtection="1">
      <alignment horizontal="left"/>
    </xf>
    <xf numFmtId="173" fontId="88" fillId="0" borderId="32" xfId="198" applyNumberFormat="1" applyFont="1" applyFill="1" applyBorder="1" applyProtection="1"/>
    <xf numFmtId="0" fontId="8" fillId="0" borderId="22" xfId="0" applyFont="1" applyBorder="1"/>
    <xf numFmtId="0" fontId="8" fillId="0" borderId="0" xfId="881" applyNumberFormat="1" applyFont="1" applyAlignment="1" applyProtection="1">
      <alignment horizontal="right"/>
    </xf>
    <xf numFmtId="10" fontId="8" fillId="0" borderId="0" xfId="0" applyNumberFormat="1" applyFont="1" applyAlignment="1">
      <alignment horizontal="center"/>
    </xf>
    <xf numFmtId="10" fontId="8" fillId="0" borderId="0" xfId="899" applyNumberFormat="1" applyFont="1" applyFill="1" applyAlignment="1" applyProtection="1">
      <alignment horizontal="center"/>
    </xf>
    <xf numFmtId="10" fontId="8" fillId="0" borderId="0" xfId="899" applyNumberFormat="1" applyFont="1" applyFill="1" applyAlignment="1" applyProtection="1"/>
    <xf numFmtId="169" fontId="8" fillId="0" borderId="0" xfId="881" applyNumberFormat="1" applyFont="1" applyProtection="1"/>
    <xf numFmtId="0" fontId="8" fillId="0" borderId="19" xfId="0" applyFont="1" applyBorder="1" applyAlignment="1">
      <alignment wrapText="1"/>
    </xf>
    <xf numFmtId="0" fontId="8" fillId="0" borderId="20" xfId="0" applyFont="1" applyBorder="1" applyAlignment="1">
      <alignment wrapText="1"/>
    </xf>
    <xf numFmtId="166" fontId="8" fillId="0" borderId="0" xfId="881" applyNumberFormat="1" applyFont="1" applyAlignment="1" applyProtection="1">
      <alignment horizontal="center"/>
    </xf>
    <xf numFmtId="41" fontId="8" fillId="0" borderId="0" xfId="881" applyNumberFormat="1" applyFont="1" applyProtection="1"/>
    <xf numFmtId="172" fontId="8" fillId="0" borderId="19" xfId="881" applyFont="1" applyBorder="1" applyProtection="1"/>
    <xf numFmtId="3" fontId="8" fillId="0" borderId="20" xfId="881" applyNumberFormat="1" applyFont="1" applyBorder="1" applyProtection="1"/>
    <xf numFmtId="41" fontId="8" fillId="0" borderId="0" xfId="881" applyNumberFormat="1" applyFont="1" applyAlignment="1" applyProtection="1">
      <alignment horizontal="center"/>
    </xf>
    <xf numFmtId="0" fontId="8" fillId="0" borderId="19" xfId="0" applyFont="1" applyBorder="1"/>
    <xf numFmtId="3" fontId="8" fillId="0" borderId="0" xfId="881" applyNumberFormat="1" applyFont="1" applyAlignment="1" applyProtection="1">
      <alignment horizontal="right"/>
    </xf>
    <xf numFmtId="178" fontId="8" fillId="0" borderId="0" xfId="881" applyNumberFormat="1" applyFont="1" applyProtection="1"/>
    <xf numFmtId="166" fontId="8" fillId="0" borderId="34" xfId="881" applyNumberFormat="1" applyFont="1" applyBorder="1" applyAlignment="1" applyProtection="1">
      <alignment horizontal="left"/>
    </xf>
    <xf numFmtId="0" fontId="8" fillId="0" borderId="6" xfId="881" applyNumberFormat="1" applyFont="1" applyBorder="1" applyAlignment="1" applyProtection="1">
      <alignment horizontal="center"/>
    </xf>
    <xf numFmtId="173" fontId="8" fillId="0" borderId="6" xfId="881" applyNumberFormat="1" applyFont="1" applyBorder="1" applyAlignment="1" applyProtection="1">
      <alignment horizontal="center"/>
    </xf>
    <xf numFmtId="174" fontId="8" fillId="0" borderId="27" xfId="0" applyNumberFormat="1" applyFont="1" applyBorder="1"/>
    <xf numFmtId="0" fontId="8" fillId="0" borderId="23" xfId="0" applyFont="1" applyBorder="1"/>
    <xf numFmtId="10" fontId="8" fillId="0" borderId="0" xfId="881" applyNumberFormat="1" applyFont="1" applyAlignment="1" applyProtection="1">
      <alignment horizontal="left"/>
    </xf>
    <xf numFmtId="41" fontId="88" fillId="0" borderId="32" xfId="0" applyNumberFormat="1" applyFont="1" applyBorder="1"/>
    <xf numFmtId="3" fontId="8" fillId="0" borderId="24" xfId="0" applyNumberFormat="1" applyFont="1" applyBorder="1"/>
    <xf numFmtId="10" fontId="88" fillId="0" borderId="19" xfId="0" applyNumberFormat="1" applyFont="1" applyBorder="1"/>
    <xf numFmtId="41" fontId="88" fillId="0" borderId="19" xfId="0" applyNumberFormat="1" applyFont="1" applyBorder="1"/>
    <xf numFmtId="41" fontId="8" fillId="0" borderId="0" xfId="881" quotePrefix="1" applyNumberFormat="1" applyFont="1" applyProtection="1"/>
    <xf numFmtId="41" fontId="8" fillId="0" borderId="0" xfId="881" applyNumberFormat="1" applyFont="1" applyAlignment="1" applyProtection="1">
      <alignment horizontal="right"/>
    </xf>
    <xf numFmtId="177" fontId="8" fillId="0" borderId="11" xfId="881" applyNumberFormat="1" applyFont="1" applyBorder="1" applyProtection="1"/>
    <xf numFmtId="164" fontId="8" fillId="0" borderId="0" xfId="881" applyNumberFormat="1" applyFont="1" applyAlignment="1" applyProtection="1">
      <alignment horizontal="left"/>
    </xf>
    <xf numFmtId="3" fontId="8" fillId="0" borderId="0" xfId="881" applyNumberFormat="1" applyFont="1" applyAlignment="1" applyProtection="1">
      <alignment vertical="center" wrapText="1"/>
    </xf>
    <xf numFmtId="41" fontId="8" fillId="0" borderId="0" xfId="881" applyNumberFormat="1" applyFont="1" applyAlignment="1" applyProtection="1">
      <alignment vertical="center"/>
    </xf>
    <xf numFmtId="41" fontId="8" fillId="0" borderId="0" xfId="881" applyNumberFormat="1" applyFont="1" applyAlignment="1" applyProtection="1">
      <alignment horizontal="center" vertical="center"/>
    </xf>
    <xf numFmtId="41" fontId="8" fillId="0" borderId="0" xfId="0" applyNumberFormat="1" applyFont="1"/>
    <xf numFmtId="173" fontId="88" fillId="0" borderId="0" xfId="0" applyNumberFormat="1" applyFont="1"/>
    <xf numFmtId="0" fontId="8" fillId="0" borderId="50" xfId="0" applyFont="1" applyBorder="1"/>
    <xf numFmtId="0" fontId="8" fillId="0" borderId="48" xfId="0" applyFont="1" applyBorder="1"/>
    <xf numFmtId="41" fontId="8" fillId="0" borderId="2" xfId="881" applyNumberFormat="1" applyFont="1" applyBorder="1" applyProtection="1"/>
    <xf numFmtId="0" fontId="21" fillId="0" borderId="0" xfId="1208" quotePrefix="1" applyFont="1" applyAlignment="1">
      <alignment horizontal="left"/>
    </xf>
    <xf numFmtId="0" fontId="13" fillId="0" borderId="0" xfId="1208" applyFont="1"/>
    <xf numFmtId="0" fontId="13" fillId="0" borderId="0" xfId="1208" quotePrefix="1" applyFont="1" applyAlignment="1">
      <alignment horizontal="left"/>
    </xf>
    <xf numFmtId="0" fontId="8" fillId="0" borderId="0" xfId="1208"/>
    <xf numFmtId="3" fontId="8" fillId="0" borderId="0" xfId="881" applyNumberFormat="1" applyFont="1" applyAlignment="1" applyProtection="1">
      <alignment horizontal="center"/>
    </xf>
    <xf numFmtId="41" fontId="8" fillId="0" borderId="11" xfId="881" applyNumberFormat="1" applyFont="1" applyBorder="1" applyProtection="1"/>
    <xf numFmtId="41" fontId="8" fillId="0" borderId="11" xfId="0" applyNumberFormat="1" applyFont="1" applyBorder="1"/>
    <xf numFmtId="10" fontId="8" fillId="0" borderId="11" xfId="0" applyNumberFormat="1" applyFont="1" applyBorder="1"/>
    <xf numFmtId="9" fontId="8" fillId="27" borderId="0" xfId="899" applyFont="1" applyFill="1" applyAlignment="1" applyProtection="1">
      <alignment horizontal="right"/>
    </xf>
    <xf numFmtId="9" fontId="8" fillId="0" borderId="0" xfId="899" applyFont="1" applyFill="1" applyBorder="1" applyProtection="1"/>
    <xf numFmtId="173" fontId="8" fillId="0" borderId="11" xfId="198" applyNumberFormat="1" applyFont="1" applyFill="1" applyBorder="1" applyAlignment="1" applyProtection="1"/>
    <xf numFmtId="164" fontId="8" fillId="0" borderId="0" xfId="899" applyNumberFormat="1" applyFont="1" applyFill="1" applyProtection="1"/>
    <xf numFmtId="173" fontId="8" fillId="0" borderId="0" xfId="1201" applyNumberFormat="1" applyFont="1" applyProtection="1"/>
    <xf numFmtId="173" fontId="8" fillId="0" borderId="0" xfId="1201" applyNumberFormat="1" applyFont="1" applyBorder="1" applyProtection="1"/>
    <xf numFmtId="0" fontId="11" fillId="27" borderId="0" xfId="1201" applyNumberFormat="1" applyFont="1" applyFill="1" applyAlignment="1" applyProtection="1">
      <alignment horizontal="left"/>
    </xf>
    <xf numFmtId="0" fontId="8" fillId="0" borderId="17" xfId="0" applyFont="1" applyBorder="1"/>
    <xf numFmtId="173" fontId="13" fillId="0" borderId="21" xfId="1201" applyNumberFormat="1" applyFont="1" applyBorder="1" applyProtection="1"/>
    <xf numFmtId="0" fontId="11" fillId="0" borderId="0" xfId="1201" applyNumberFormat="1" applyFont="1" applyFill="1" applyAlignment="1" applyProtection="1">
      <alignment horizontal="left"/>
    </xf>
    <xf numFmtId="0" fontId="11" fillId="0" borderId="0" xfId="1201" applyNumberFormat="1" applyFont="1" applyFill="1" applyBorder="1" applyAlignment="1" applyProtection="1">
      <alignment horizontal="left"/>
    </xf>
    <xf numFmtId="0" fontId="12" fillId="0" borderId="0" xfId="1201" applyNumberFormat="1" applyFont="1" applyFill="1" applyBorder="1" applyAlignment="1" applyProtection="1">
      <alignment horizontal="left"/>
    </xf>
    <xf numFmtId="173" fontId="13" fillId="0" borderId="25" xfId="1201" applyNumberFormat="1" applyFont="1" applyBorder="1" applyProtection="1"/>
    <xf numFmtId="173" fontId="13" fillId="0" borderId="34" xfId="1201" applyNumberFormat="1" applyFont="1" applyBorder="1" applyProtection="1"/>
    <xf numFmtId="173" fontId="8" fillId="0" borderId="6" xfId="1201" applyNumberFormat="1" applyFont="1" applyBorder="1" applyProtection="1"/>
    <xf numFmtId="173" fontId="8" fillId="0" borderId="27" xfId="1201" applyNumberFormat="1" applyFont="1" applyBorder="1" applyProtection="1"/>
    <xf numFmtId="0" fontId="8" fillId="0" borderId="36" xfId="0" applyFont="1" applyBorder="1" applyAlignment="1">
      <alignment horizontal="left"/>
    </xf>
    <xf numFmtId="0" fontId="8" fillId="0" borderId="19" xfId="0" quotePrefix="1" applyFont="1" applyBorder="1" applyAlignment="1">
      <alignment horizontal="left"/>
    </xf>
    <xf numFmtId="173" fontId="8" fillId="27" borderId="20" xfId="1201" applyNumberFormat="1" applyFont="1" applyFill="1" applyBorder="1" applyAlignment="1" applyProtection="1">
      <alignment horizontal="right"/>
    </xf>
    <xf numFmtId="0" fontId="8" fillId="27" borderId="20" xfId="0" applyFont="1" applyFill="1" applyBorder="1" applyAlignment="1">
      <alignment horizontal="right"/>
    </xf>
    <xf numFmtId="173" fontId="8" fillId="0" borderId="20" xfId="0" applyNumberFormat="1" applyFont="1" applyBorder="1" applyAlignment="1">
      <alignment horizontal="right"/>
    </xf>
    <xf numFmtId="173" fontId="8" fillId="0" borderId="0" xfId="0" applyNumberFormat="1" applyFont="1" applyAlignment="1">
      <alignment horizontal="right"/>
    </xf>
    <xf numFmtId="10" fontId="8" fillId="0" borderId="20" xfId="0" applyNumberFormat="1" applyFont="1" applyBorder="1"/>
    <xf numFmtId="173" fontId="8" fillId="0" borderId="20" xfId="1201" applyNumberFormat="1" applyFont="1" applyBorder="1" applyProtection="1"/>
    <xf numFmtId="173" fontId="13" fillId="0" borderId="38" xfId="1201" applyNumberFormat="1" applyFont="1" applyBorder="1" applyAlignment="1" applyProtection="1">
      <alignment horizontal="center"/>
    </xf>
    <xf numFmtId="173" fontId="13" fillId="0" borderId="21" xfId="1201" quotePrefix="1" applyNumberFormat="1" applyFont="1" applyFill="1" applyBorder="1" applyAlignment="1" applyProtection="1">
      <alignment horizontal="center" wrapText="1"/>
    </xf>
    <xf numFmtId="173" fontId="13" fillId="0" borderId="21" xfId="1201" quotePrefix="1" applyNumberFormat="1" applyFont="1" applyBorder="1" applyAlignment="1" applyProtection="1">
      <alignment horizontal="center" wrapText="1"/>
    </xf>
    <xf numFmtId="173" fontId="13" fillId="0" borderId="38" xfId="1201" quotePrefix="1" applyNumberFormat="1" applyFont="1" applyBorder="1" applyAlignment="1" applyProtection="1">
      <alignment horizontal="center" wrapText="1"/>
    </xf>
    <xf numFmtId="173" fontId="13" fillId="0" borderId="38" xfId="1201" applyNumberFormat="1" applyFont="1" applyFill="1" applyBorder="1" applyAlignment="1" applyProtection="1">
      <alignment horizontal="center" wrapText="1"/>
    </xf>
    <xf numFmtId="173" fontId="13" fillId="0" borderId="38" xfId="1201" applyNumberFormat="1" applyFont="1" applyBorder="1" applyAlignment="1" applyProtection="1">
      <alignment horizontal="center" wrapText="1"/>
    </xf>
    <xf numFmtId="173" fontId="13" fillId="0" borderId="27" xfId="1201" applyNumberFormat="1" applyFont="1" applyFill="1" applyBorder="1" applyAlignment="1" applyProtection="1">
      <alignment horizontal="center"/>
    </xf>
    <xf numFmtId="173" fontId="13" fillId="0" borderId="27" xfId="1201" applyNumberFormat="1" applyFont="1" applyBorder="1" applyAlignment="1" applyProtection="1">
      <alignment horizontal="center"/>
    </xf>
    <xf numFmtId="173" fontId="13" fillId="0" borderId="39" xfId="1201" applyNumberFormat="1" applyFont="1" applyBorder="1" applyAlignment="1" applyProtection="1">
      <alignment horizontal="center"/>
    </xf>
    <xf numFmtId="173" fontId="13" fillId="0" borderId="39" xfId="1201" applyNumberFormat="1" applyFont="1" applyFill="1" applyBorder="1" applyAlignment="1" applyProtection="1">
      <alignment horizontal="center"/>
    </xf>
    <xf numFmtId="173" fontId="13" fillId="0" borderId="34" xfId="1201" applyNumberFormat="1" applyFont="1" applyFill="1" applyBorder="1" applyAlignment="1" applyProtection="1">
      <alignment horizontal="center"/>
    </xf>
    <xf numFmtId="0" fontId="8" fillId="0" borderId="28" xfId="0" applyFont="1" applyBorder="1" applyAlignment="1">
      <alignment horizontal="center"/>
    </xf>
    <xf numFmtId="173" fontId="8" fillId="0" borderId="38" xfId="1201" applyNumberFormat="1" applyFont="1" applyBorder="1" applyProtection="1"/>
    <xf numFmtId="174" fontId="8" fillId="0" borderId="20" xfId="0" applyNumberFormat="1" applyFont="1" applyBorder="1"/>
    <xf numFmtId="174" fontId="8" fillId="0" borderId="38" xfId="0" applyNumberFormat="1" applyFont="1" applyBorder="1"/>
    <xf numFmtId="174" fontId="8" fillId="0" borderId="28" xfId="0" applyNumberFormat="1" applyFont="1" applyBorder="1"/>
    <xf numFmtId="173" fontId="8" fillId="0" borderId="28" xfId="0" applyNumberFormat="1" applyFont="1" applyBorder="1"/>
    <xf numFmtId="173" fontId="8" fillId="0" borderId="28" xfId="1201" applyNumberFormat="1" applyFont="1" applyBorder="1" applyProtection="1"/>
    <xf numFmtId="174" fontId="8" fillId="27" borderId="28" xfId="0" applyNumberFormat="1" applyFont="1" applyFill="1" applyBorder="1"/>
    <xf numFmtId="173" fontId="8" fillId="0" borderId="28" xfId="1201" applyNumberFormat="1" applyFont="1" applyFill="1" applyBorder="1" applyProtection="1"/>
    <xf numFmtId="0" fontId="8" fillId="0" borderId="39" xfId="0" applyFont="1" applyBorder="1" applyAlignment="1">
      <alignment horizontal="center"/>
    </xf>
    <xf numFmtId="173" fontId="8" fillId="0" borderId="39" xfId="0" applyNumberFormat="1" applyFont="1" applyBorder="1"/>
    <xf numFmtId="173" fontId="8" fillId="0" borderId="39" xfId="1201" applyNumberFormat="1" applyFont="1" applyBorder="1" applyProtection="1"/>
    <xf numFmtId="173" fontId="8" fillId="0" borderId="39" xfId="1201" applyNumberFormat="1" applyFont="1" applyFill="1" applyBorder="1" applyProtection="1"/>
    <xf numFmtId="174" fontId="8" fillId="27" borderId="39" xfId="0" applyNumberFormat="1" applyFont="1" applyFill="1" applyBorder="1"/>
    <xf numFmtId="174" fontId="8" fillId="0" borderId="39" xfId="0" applyNumberFormat="1" applyFont="1" applyBorder="1"/>
    <xf numFmtId="0" fontId="22" fillId="0" borderId="0" xfId="1409" applyFont="1" applyAlignment="1">
      <alignment horizontal="center"/>
    </xf>
    <xf numFmtId="10" fontId="88" fillId="0" borderId="32" xfId="0" applyNumberFormat="1" applyFont="1" applyBorder="1"/>
    <xf numFmtId="1" fontId="8" fillId="26" borderId="0" xfId="881" applyNumberFormat="1" applyFont="1" applyFill="1" applyAlignment="1" applyProtection="1">
      <alignment horizontal="center"/>
    </xf>
    <xf numFmtId="167" fontId="88" fillId="0" borderId="32" xfId="0" applyNumberFormat="1" applyFont="1" applyBorder="1"/>
    <xf numFmtId="41" fontId="8" fillId="0" borderId="19" xfId="881" quotePrefix="1" applyNumberFormat="1" applyFont="1" applyBorder="1" applyAlignment="1" applyProtection="1">
      <alignment horizontal="left"/>
    </xf>
    <xf numFmtId="41" fontId="8" fillId="0" borderId="0" xfId="881" quotePrefix="1" applyNumberFormat="1" applyFont="1" applyAlignment="1" applyProtection="1">
      <alignment horizontal="right"/>
    </xf>
    <xf numFmtId="41" fontId="8" fillId="0" borderId="19" xfId="881" quotePrefix="1" applyNumberFormat="1" applyFont="1" applyBorder="1" applyAlignment="1" applyProtection="1">
      <alignment horizontal="left" vertical="center"/>
    </xf>
    <xf numFmtId="41" fontId="8" fillId="0" borderId="0" xfId="881" quotePrefix="1" applyNumberFormat="1" applyFont="1" applyAlignment="1" applyProtection="1">
      <alignment horizontal="right" vertical="center"/>
    </xf>
    <xf numFmtId="0" fontId="8" fillId="0" borderId="33" xfId="0" applyFont="1" applyBorder="1" applyAlignment="1">
      <alignment horizontal="left"/>
    </xf>
    <xf numFmtId="0" fontId="8" fillId="0" borderId="30" xfId="0" applyFont="1" applyBorder="1" applyAlignment="1">
      <alignment horizontal="right"/>
    </xf>
    <xf numFmtId="173" fontId="8" fillId="0" borderId="30" xfId="0" applyNumberFormat="1" applyFont="1" applyBorder="1"/>
    <xf numFmtId="173" fontId="8" fillId="0" borderId="31" xfId="0" applyNumberFormat="1" applyFont="1" applyBorder="1"/>
    <xf numFmtId="173" fontId="8" fillId="0" borderId="0" xfId="881" quotePrefix="1" applyNumberFormat="1" applyFont="1" applyAlignment="1" applyProtection="1">
      <alignment horizontal="center"/>
    </xf>
    <xf numFmtId="0" fontId="8" fillId="0" borderId="25" xfId="0" applyFont="1" applyBorder="1"/>
    <xf numFmtId="173" fontId="88" fillId="0" borderId="42" xfId="0" applyNumberFormat="1" applyFont="1" applyBorder="1"/>
    <xf numFmtId="0" fontId="8" fillId="0" borderId="26" xfId="0" applyFont="1" applyBorder="1"/>
    <xf numFmtId="173" fontId="88" fillId="0" borderId="33" xfId="0" applyNumberFormat="1" applyFont="1" applyBorder="1"/>
    <xf numFmtId="0" fontId="8" fillId="0" borderId="27" xfId="0" applyFont="1" applyBorder="1"/>
    <xf numFmtId="10" fontId="8" fillId="27" borderId="0" xfId="899" applyNumberFormat="1" applyFont="1" applyFill="1" applyAlignment="1" applyProtection="1">
      <alignment horizontal="right"/>
    </xf>
    <xf numFmtId="0" fontId="15" fillId="0" borderId="0" xfId="1208" quotePrefix="1" applyFont="1" applyAlignment="1">
      <alignment horizontal="left"/>
    </xf>
    <xf numFmtId="0" fontId="8" fillId="0" borderId="0" xfId="1208" applyAlignment="1">
      <alignment horizontal="center"/>
    </xf>
    <xf numFmtId="10" fontId="8" fillId="0" borderId="0" xfId="1208" applyNumberFormat="1"/>
    <xf numFmtId="0" fontId="22" fillId="0" borderId="0" xfId="1208" applyFont="1" applyAlignment="1">
      <alignment horizontal="right"/>
    </xf>
    <xf numFmtId="0" fontId="22" fillId="0" borderId="0" xfId="1208" quotePrefix="1" applyFont="1" applyAlignment="1">
      <alignment horizontal="right"/>
    </xf>
    <xf numFmtId="0" fontId="61" fillId="0" borderId="0" xfId="1208" applyFont="1"/>
    <xf numFmtId="0" fontId="12" fillId="0" borderId="0" xfId="1208" applyFont="1"/>
    <xf numFmtId="1" fontId="13" fillId="0" borderId="47" xfId="1208" applyNumberFormat="1" applyFont="1" applyBorder="1" applyAlignment="1">
      <alignment horizontal="center"/>
    </xf>
    <xf numFmtId="172" fontId="8" fillId="0" borderId="40" xfId="881" applyFont="1" applyBorder="1" applyAlignment="1" applyProtection="1">
      <alignment horizontal="center"/>
    </xf>
    <xf numFmtId="172" fontId="8" fillId="0" borderId="40" xfId="881" quotePrefix="1" applyFont="1" applyBorder="1" applyAlignment="1" applyProtection="1">
      <alignment horizontal="center"/>
    </xf>
    <xf numFmtId="3" fontId="8" fillId="0" borderId="41" xfId="881" applyNumberFormat="1" applyFont="1" applyBorder="1" applyAlignment="1" applyProtection="1">
      <alignment horizontal="center"/>
    </xf>
    <xf numFmtId="0" fontId="83" fillId="0" borderId="0" xfId="1208" applyFont="1"/>
    <xf numFmtId="0" fontId="8" fillId="0" borderId="38" xfId="1208" applyBorder="1"/>
    <xf numFmtId="173" fontId="8" fillId="0" borderId="19" xfId="1201" quotePrefix="1" applyNumberFormat="1" applyFont="1" applyBorder="1" applyAlignment="1" applyProtection="1">
      <alignment horizontal="right"/>
    </xf>
    <xf numFmtId="173" fontId="13" fillId="0" borderId="0" xfId="1201" applyNumberFormat="1" applyFont="1" applyBorder="1" applyProtection="1"/>
    <xf numFmtId="173" fontId="8" fillId="0" borderId="20" xfId="1208" applyNumberFormat="1" applyBorder="1"/>
    <xf numFmtId="0" fontId="12" fillId="0" borderId="0" xfId="1208" applyFont="1" applyAlignment="1">
      <alignment horizontal="left"/>
    </xf>
    <xf numFmtId="0" fontId="11" fillId="0" borderId="44" xfId="1201" applyNumberFormat="1" applyFont="1" applyFill="1" applyBorder="1" applyAlignment="1" applyProtection="1">
      <alignment horizontal="left"/>
    </xf>
    <xf numFmtId="173" fontId="8" fillId="0" borderId="45" xfId="1201" quotePrefix="1" applyNumberFormat="1" applyFont="1" applyBorder="1" applyAlignment="1" applyProtection="1">
      <alignment horizontal="right"/>
    </xf>
    <xf numFmtId="173" fontId="13" fillId="0" borderId="11" xfId="1201" applyNumberFormat="1" applyFont="1" applyBorder="1" applyProtection="1"/>
    <xf numFmtId="173" fontId="8" fillId="0" borderId="25" xfId="1208" applyNumberFormat="1" applyBorder="1"/>
    <xf numFmtId="0" fontId="8" fillId="0" borderId="34" xfId="1208" quotePrefix="1" applyBorder="1" applyAlignment="1">
      <alignment horizontal="right"/>
    </xf>
    <xf numFmtId="173" fontId="13" fillId="0" borderId="6" xfId="1201" applyNumberFormat="1" applyFont="1" applyFill="1" applyBorder="1" applyAlignment="1" applyProtection="1">
      <alignment horizontal="left"/>
    </xf>
    <xf numFmtId="173" fontId="13" fillId="0" borderId="27" xfId="1201" applyNumberFormat="1" applyFont="1" applyFill="1" applyBorder="1" applyAlignment="1" applyProtection="1">
      <alignment horizontal="left"/>
    </xf>
    <xf numFmtId="173" fontId="8" fillId="0" borderId="0" xfId="1208" applyNumberFormat="1" applyAlignment="1">
      <alignment horizontal="left"/>
    </xf>
    <xf numFmtId="173" fontId="8" fillId="0" borderId="0" xfId="1208" applyNumberFormat="1"/>
    <xf numFmtId="0" fontId="8" fillId="0" borderId="0" xfId="1208" applyAlignment="1">
      <alignment wrapText="1"/>
    </xf>
    <xf numFmtId="0" fontId="8" fillId="0" borderId="35" xfId="1208" applyBorder="1" applyAlignment="1">
      <alignment horizontal="center"/>
    </xf>
    <xf numFmtId="0" fontId="8" fillId="0" borderId="36" xfId="1208" applyBorder="1"/>
    <xf numFmtId="0" fontId="8" fillId="0" borderId="19" xfId="1208" quotePrefix="1" applyBorder="1" applyAlignment="1">
      <alignment horizontal="left"/>
    </xf>
    <xf numFmtId="1" fontId="13" fillId="0" borderId="21" xfId="1208" applyNumberFormat="1" applyFont="1" applyBorder="1" applyAlignment="1">
      <alignment horizontal="center"/>
    </xf>
    <xf numFmtId="0" fontId="13" fillId="0" borderId="0" xfId="1208" applyFont="1" applyAlignment="1">
      <alignment horizontal="center"/>
    </xf>
    <xf numFmtId="0" fontId="8" fillId="0" borderId="19" xfId="1208" applyBorder="1"/>
    <xf numFmtId="173" fontId="8" fillId="0" borderId="20" xfId="1208" applyNumberFormat="1" applyBorder="1" applyAlignment="1">
      <alignment horizontal="right"/>
    </xf>
    <xf numFmtId="173" fontId="8" fillId="0" borderId="0" xfId="1208" applyNumberFormat="1" applyAlignment="1">
      <alignment horizontal="right"/>
    </xf>
    <xf numFmtId="10" fontId="8" fillId="0" borderId="20" xfId="1208" applyNumberFormat="1" applyBorder="1"/>
    <xf numFmtId="0" fontId="8" fillId="0" borderId="34" xfId="1208" applyBorder="1"/>
    <xf numFmtId="0" fontId="8" fillId="0" borderId="6" xfId="1208" applyBorder="1" applyAlignment="1">
      <alignment horizontal="center"/>
    </xf>
    <xf numFmtId="0" fontId="8" fillId="0" borderId="6" xfId="1208" applyBorder="1"/>
    <xf numFmtId="0" fontId="13" fillId="0" borderId="38" xfId="1208" applyFont="1" applyBorder="1" applyAlignment="1">
      <alignment horizontal="center" wrapText="1"/>
    </xf>
    <xf numFmtId="173" fontId="13" fillId="0" borderId="38" xfId="1201" applyNumberFormat="1" applyFont="1" applyFill="1" applyBorder="1" applyAlignment="1" applyProtection="1">
      <alignment horizontal="center"/>
    </xf>
    <xf numFmtId="173" fontId="13" fillId="0" borderId="38" xfId="1201" quotePrefix="1" applyNumberFormat="1" applyFont="1" applyFill="1" applyBorder="1" applyAlignment="1" applyProtection="1">
      <alignment horizontal="center" wrapText="1"/>
    </xf>
    <xf numFmtId="0" fontId="13" fillId="0" borderId="28" xfId="1208" applyFont="1" applyBorder="1" applyAlignment="1">
      <alignment horizontal="center" wrapText="1"/>
    </xf>
    <xf numFmtId="0" fontId="13" fillId="0" borderId="39" xfId="1208" applyFont="1" applyBorder="1" applyAlignment="1">
      <alignment horizontal="center"/>
    </xf>
    <xf numFmtId="0" fontId="13" fillId="0" borderId="6" xfId="1208" applyFont="1" applyBorder="1" applyAlignment="1">
      <alignment horizontal="center"/>
    </xf>
    <xf numFmtId="0" fontId="13" fillId="0" borderId="28" xfId="1208" applyFont="1" applyBorder="1" applyAlignment="1">
      <alignment horizontal="center"/>
    </xf>
    <xf numFmtId="0" fontId="8" fillId="0" borderId="28" xfId="1208" applyBorder="1" applyAlignment="1">
      <alignment horizontal="center"/>
    </xf>
    <xf numFmtId="173" fontId="8" fillId="0" borderId="28" xfId="1208" applyNumberFormat="1" applyBorder="1"/>
    <xf numFmtId="173" fontId="8" fillId="0" borderId="38" xfId="1208" applyNumberFormat="1" applyBorder="1"/>
    <xf numFmtId="170" fontId="8" fillId="0" borderId="28" xfId="1201" applyNumberFormat="1" applyFont="1" applyFill="1" applyBorder="1" applyProtection="1"/>
    <xf numFmtId="170" fontId="8" fillId="0" borderId="20" xfId="1201" applyNumberFormat="1" applyFont="1" applyFill="1" applyBorder="1" applyProtection="1"/>
    <xf numFmtId="174" fontId="8" fillId="0" borderId="28" xfId="1208" applyNumberFormat="1" applyBorder="1"/>
    <xf numFmtId="174" fontId="8" fillId="27" borderId="38" xfId="1208" applyNumberFormat="1" applyFill="1" applyBorder="1"/>
    <xf numFmtId="174" fontId="8" fillId="0" borderId="38" xfId="1208" applyNumberFormat="1" applyBorder="1"/>
    <xf numFmtId="173" fontId="8" fillId="0" borderId="20" xfId="1201" applyNumberFormat="1" applyFont="1" applyFill="1" applyBorder="1" applyProtection="1"/>
    <xf numFmtId="174" fontId="8" fillId="27" borderId="28" xfId="1208" applyNumberFormat="1" applyFill="1" applyBorder="1"/>
    <xf numFmtId="0" fontId="8" fillId="0" borderId="39" xfId="1208" applyBorder="1" applyAlignment="1">
      <alignment horizontal="center"/>
    </xf>
    <xf numFmtId="173" fontId="8" fillId="0" borderId="6" xfId="1208" applyNumberFormat="1" applyBorder="1"/>
    <xf numFmtId="173" fontId="8" fillId="0" borderId="39" xfId="1208" applyNumberFormat="1" applyBorder="1"/>
    <xf numFmtId="173" fontId="8" fillId="0" borderId="27" xfId="1201" applyNumberFormat="1" applyFont="1" applyFill="1" applyBorder="1" applyProtection="1"/>
    <xf numFmtId="174" fontId="8" fillId="0" borderId="39" xfId="1208" applyNumberFormat="1" applyBorder="1"/>
    <xf numFmtId="174" fontId="8" fillId="27" borderId="39" xfId="1208" applyNumberFormat="1" applyFill="1" applyBorder="1"/>
    <xf numFmtId="0" fontId="8" fillId="0" borderId="0" xfId="1208" quotePrefix="1" applyAlignment="1">
      <alignment horizontal="left"/>
    </xf>
    <xf numFmtId="174" fontId="8" fillId="0" borderId="0" xfId="1208" applyNumberFormat="1"/>
    <xf numFmtId="0" fontId="8" fillId="0" borderId="0" xfId="883"/>
    <xf numFmtId="173" fontId="8" fillId="0" borderId="0" xfId="883" applyNumberFormat="1"/>
    <xf numFmtId="43" fontId="8" fillId="0" borderId="0" xfId="535" applyFont="1" applyFill="1" applyProtection="1"/>
    <xf numFmtId="43" fontId="8" fillId="27" borderId="0" xfId="198" applyFont="1" applyFill="1" applyBorder="1" applyProtection="1"/>
    <xf numFmtId="0" fontId="8" fillId="0" borderId="0" xfId="0" applyFont="1" applyAlignment="1">
      <alignment horizontal="right"/>
    </xf>
    <xf numFmtId="5" fontId="8" fillId="0" borderId="14" xfId="198" applyNumberFormat="1" applyFont="1" applyFill="1" applyBorder="1" applyAlignment="1" applyProtection="1"/>
    <xf numFmtId="173" fontId="8" fillId="0" borderId="0" xfId="198" applyNumberFormat="1" applyFont="1" applyFill="1" applyAlignment="1" applyProtection="1"/>
    <xf numFmtId="3" fontId="23" fillId="27" borderId="0" xfId="1183" applyNumberFormat="1" applyFont="1" applyFill="1" applyBorder="1" applyAlignment="1" applyProtection="1">
      <alignment horizontal="left"/>
    </xf>
    <xf numFmtId="173" fontId="23" fillId="27" borderId="0" xfId="1183" applyNumberFormat="1" applyFont="1" applyFill="1" applyBorder="1" applyProtection="1"/>
    <xf numFmtId="43" fontId="23" fillId="27" borderId="0" xfId="1183" applyFont="1" applyFill="1" applyBorder="1" applyProtection="1"/>
    <xf numFmtId="41" fontId="23" fillId="27" borderId="0" xfId="1183" applyNumberFormat="1" applyFont="1" applyFill="1" applyBorder="1" applyProtection="1"/>
    <xf numFmtId="3" fontId="23" fillId="27" borderId="0" xfId="198" applyNumberFormat="1" applyFont="1" applyFill="1" applyBorder="1" applyProtection="1"/>
    <xf numFmtId="43" fontId="23" fillId="27" borderId="0" xfId="198" applyFont="1" applyFill="1" applyBorder="1" applyProtection="1"/>
    <xf numFmtId="41" fontId="23" fillId="27" borderId="0" xfId="198" applyNumberFormat="1" applyFont="1" applyFill="1" applyBorder="1" applyProtection="1"/>
    <xf numFmtId="0" fontId="12" fillId="0" borderId="0" xfId="1176" applyFont="1"/>
    <xf numFmtId="37" fontId="12" fillId="0" borderId="0" xfId="198" applyNumberFormat="1" applyFont="1" applyFill="1" applyAlignment="1" applyProtection="1">
      <alignment horizontal="center"/>
    </xf>
    <xf numFmtId="3" fontId="23" fillId="27" borderId="0" xfId="1183" applyNumberFormat="1" applyFont="1" applyFill="1" applyBorder="1" applyProtection="1"/>
    <xf numFmtId="10" fontId="11" fillId="27" borderId="0" xfId="899" applyNumberFormat="1" applyFont="1" applyFill="1" applyBorder="1" applyProtection="1"/>
    <xf numFmtId="10" fontId="23" fillId="27" borderId="0" xfId="899" applyNumberFormat="1" applyFont="1" applyFill="1" applyBorder="1" applyProtection="1"/>
    <xf numFmtId="191" fontId="8" fillId="0" borderId="0" xfId="0" applyNumberFormat="1" applyFont="1"/>
    <xf numFmtId="10" fontId="11" fillId="0" borderId="11" xfId="899" applyNumberFormat="1" applyFont="1" applyFill="1" applyBorder="1" applyAlignment="1" applyProtection="1"/>
    <xf numFmtId="9" fontId="23" fillId="27" borderId="11" xfId="899" applyFont="1" applyFill="1" applyBorder="1" applyProtection="1"/>
    <xf numFmtId="173" fontId="11" fillId="0" borderId="0" xfId="198" applyNumberFormat="1" applyFont="1" applyFill="1" applyBorder="1" applyAlignment="1" applyProtection="1"/>
    <xf numFmtId="172" fontId="11" fillId="0" borderId="0" xfId="881" applyFont="1" applyAlignment="1" applyProtection="1">
      <alignment horizontal="right"/>
    </xf>
    <xf numFmtId="173" fontId="11" fillId="0" borderId="14" xfId="198" applyNumberFormat="1" applyFont="1" applyFill="1" applyBorder="1" applyAlignment="1" applyProtection="1"/>
    <xf numFmtId="10" fontId="11" fillId="0" borderId="14" xfId="899" applyNumberFormat="1" applyFont="1" applyFill="1" applyBorder="1" applyAlignment="1" applyProtection="1">
      <alignment horizontal="right"/>
    </xf>
    <xf numFmtId="0" fontId="8" fillId="0" borderId="0" xfId="882" applyFont="1"/>
    <xf numFmtId="184" fontId="8" fillId="0" borderId="0" xfId="882" applyNumberFormat="1" applyFont="1"/>
    <xf numFmtId="0" fontId="118" fillId="0" borderId="0" xfId="882" applyFont="1"/>
    <xf numFmtId="184" fontId="22" fillId="0" borderId="0" xfId="882" applyNumberFormat="1" applyFont="1"/>
    <xf numFmtId="173" fontId="90" fillId="27" borderId="0" xfId="1183" applyNumberFormat="1" applyFont="1" applyFill="1" applyBorder="1" applyProtection="1"/>
    <xf numFmtId="173" fontId="8" fillId="0" borderId="0" xfId="1183" applyNumberFormat="1" applyFont="1" applyFill="1" applyProtection="1"/>
    <xf numFmtId="173" fontId="90" fillId="61" borderId="0" xfId="1183" applyNumberFormat="1" applyFont="1" applyFill="1" applyBorder="1" applyProtection="1"/>
    <xf numFmtId="173" fontId="212" fillId="27" borderId="0" xfId="1183" applyNumberFormat="1" applyFont="1" applyFill="1" applyBorder="1" applyProtection="1"/>
    <xf numFmtId="173" fontId="160" fillId="27" borderId="0" xfId="1183" applyNumberFormat="1" applyFont="1" applyFill="1" applyBorder="1" applyProtection="1"/>
    <xf numFmtId="0" fontId="212" fillId="0" borderId="0" xfId="882" applyFont="1"/>
    <xf numFmtId="43" fontId="64" fillId="0" borderId="0" xfId="198" applyFont="1" applyFill="1" applyProtection="1"/>
    <xf numFmtId="43" fontId="67" fillId="0" borderId="0" xfId="198" applyFont="1" applyFill="1" applyProtection="1"/>
    <xf numFmtId="173" fontId="67" fillId="0" borderId="0" xfId="198" applyNumberFormat="1" applyFont="1" applyFill="1" applyProtection="1"/>
    <xf numFmtId="173" fontId="11" fillId="0" borderId="0" xfId="198" applyNumberFormat="1" applyFont="1" applyFill="1" applyProtection="1"/>
    <xf numFmtId="173" fontId="64" fillId="0" borderId="15" xfId="198" applyNumberFormat="1" applyFont="1" applyFill="1" applyBorder="1" applyProtection="1"/>
    <xf numFmtId="43" fontId="64" fillId="0" borderId="0" xfId="198" applyFont="1" applyFill="1" applyAlignment="1" applyProtection="1">
      <alignment vertical="center"/>
    </xf>
    <xf numFmtId="43" fontId="11" fillId="0" borderId="0" xfId="198" applyFont="1" applyFill="1" applyAlignment="1" applyProtection="1">
      <alignment vertical="center"/>
    </xf>
    <xf numFmtId="173" fontId="11" fillId="0" borderId="0" xfId="198" applyNumberFormat="1" applyFont="1" applyFill="1" applyAlignment="1" applyProtection="1">
      <alignment vertical="center"/>
    </xf>
    <xf numFmtId="43" fontId="67" fillId="0" borderId="0" xfId="198" applyFont="1" applyFill="1" applyAlignment="1" applyProtection="1">
      <alignment horizontal="right" vertical="center"/>
    </xf>
    <xf numFmtId="0" fontId="8" fillId="0" borderId="0" xfId="882" applyFont="1" applyAlignment="1">
      <alignment horizontal="center"/>
    </xf>
    <xf numFmtId="173" fontId="64" fillId="0" borderId="13" xfId="198" applyNumberFormat="1" applyFont="1" applyFill="1" applyBorder="1" applyProtection="1"/>
    <xf numFmtId="43" fontId="8" fillId="0" borderId="0" xfId="1172" applyNumberFormat="1"/>
    <xf numFmtId="0" fontId="158" fillId="0" borderId="29" xfId="1172" applyFont="1" applyBorder="1" applyAlignment="1">
      <alignment horizontal="center"/>
    </xf>
    <xf numFmtId="173" fontId="8" fillId="0" borderId="66" xfId="1175" applyNumberFormat="1" applyFont="1" applyBorder="1" applyProtection="1"/>
    <xf numFmtId="173" fontId="88" fillId="0" borderId="0" xfId="1175" applyNumberFormat="1" applyFont="1" applyFill="1" applyProtection="1"/>
    <xf numFmtId="173" fontId="88" fillId="27" borderId="0" xfId="1184" applyNumberFormat="1" applyFont="1" applyFill="1" applyBorder="1" applyProtection="1"/>
    <xf numFmtId="175" fontId="196" fillId="0" borderId="0" xfId="1429" applyNumberFormat="1" applyFont="1" applyFill="1" applyProtection="1"/>
    <xf numFmtId="173" fontId="196" fillId="0" borderId="0" xfId="1533" applyNumberFormat="1" applyFont="1" applyFill="1" applyProtection="1"/>
    <xf numFmtId="173" fontId="196" fillId="0" borderId="0" xfId="1201" applyNumberFormat="1" applyFont="1" applyFill="1" applyProtection="1"/>
    <xf numFmtId="173" fontId="196" fillId="0" borderId="0" xfId="1533" applyNumberFormat="1" applyFont="1" applyFill="1" applyBorder="1" applyProtection="1"/>
    <xf numFmtId="173" fontId="85" fillId="0" borderId="0" xfId="1533" applyNumberFormat="1" applyFont="1" applyFill="1" applyProtection="1"/>
    <xf numFmtId="173" fontId="11" fillId="0" borderId="0" xfId="1533" applyNumberFormat="1" applyFont="1" applyFill="1" applyProtection="1"/>
    <xf numFmtId="173" fontId="85" fillId="0" borderId="0" xfId="1533" applyNumberFormat="1" applyFont="1" applyFill="1" applyBorder="1" applyAlignment="1" applyProtection="1">
      <alignment horizontal="center"/>
    </xf>
    <xf numFmtId="10" fontId="8" fillId="0" borderId="0" xfId="1534" applyNumberFormat="1" applyFont="1" applyProtection="1"/>
    <xf numFmtId="173" fontId="85" fillId="0" borderId="0" xfId="1533" applyNumberFormat="1" applyFont="1" applyFill="1" applyAlignment="1" applyProtection="1">
      <alignment horizontal="center"/>
    </xf>
    <xf numFmtId="173" fontId="196" fillId="0" borderId="6" xfId="1533" applyNumberFormat="1" applyFont="1" applyFill="1" applyBorder="1" applyProtection="1"/>
    <xf numFmtId="173" fontId="11" fillId="0" borderId="2" xfId="1533" applyNumberFormat="1" applyFont="1" applyFill="1" applyBorder="1" applyProtection="1"/>
    <xf numFmtId="173" fontId="196" fillId="0" borderId="2" xfId="1533" applyNumberFormat="1" applyFont="1" applyFill="1" applyBorder="1" applyProtection="1"/>
    <xf numFmtId="173" fontId="11" fillId="0" borderId="0" xfId="1533" applyNumberFormat="1" applyFont="1" applyFill="1" applyBorder="1" applyProtection="1"/>
    <xf numFmtId="173" fontId="11" fillId="0" borderId="11" xfId="1533" applyNumberFormat="1" applyFont="1" applyFill="1" applyBorder="1" applyProtection="1"/>
    <xf numFmtId="173" fontId="196" fillId="0" borderId="11" xfId="1533" applyNumberFormat="1" applyFont="1" applyFill="1" applyBorder="1" applyProtection="1"/>
    <xf numFmtId="43" fontId="8" fillId="0" borderId="0" xfId="1208" applyNumberFormat="1"/>
    <xf numFmtId="173" fontId="196" fillId="0" borderId="6" xfId="1201" applyNumberFormat="1" applyFont="1" applyFill="1" applyBorder="1" applyProtection="1"/>
    <xf numFmtId="0" fontId="11" fillId="0" borderId="0" xfId="1535" applyFont="1"/>
    <xf numFmtId="0" fontId="19" fillId="0" borderId="0" xfId="1535" applyFont="1"/>
    <xf numFmtId="174" fontId="19" fillId="0" borderId="0" xfId="1535" applyNumberFormat="1" applyFont="1"/>
    <xf numFmtId="1" fontId="19" fillId="0" borderId="0" xfId="1535" applyNumberFormat="1" applyFont="1" applyAlignment="1">
      <alignment horizontal="left"/>
    </xf>
    <xf numFmtId="0" fontId="19" fillId="0" borderId="0" xfId="1535" quotePrefix="1" applyFont="1" applyAlignment="1">
      <alignment horizontal="left"/>
    </xf>
    <xf numFmtId="1" fontId="19" fillId="0" borderId="0" xfId="1535" applyNumberFormat="1" applyFont="1" applyAlignment="1">
      <alignment horizontal="center"/>
    </xf>
    <xf numFmtId="14" fontId="19" fillId="0" borderId="0" xfId="1535" quotePrefix="1" applyNumberFormat="1" applyFont="1" applyAlignment="1">
      <alignment horizontal="left"/>
    </xf>
    <xf numFmtId="43" fontId="19" fillId="0" borderId="0" xfId="1535" applyNumberFormat="1" applyFont="1"/>
    <xf numFmtId="10" fontId="19" fillId="0" borderId="0" xfId="1535" applyNumberFormat="1" applyFont="1"/>
    <xf numFmtId="0" fontId="200" fillId="0" borderId="0" xfId="1535" applyFont="1"/>
    <xf numFmtId="0" fontId="19" fillId="0" borderId="0" xfId="1535" applyFont="1" applyAlignment="1">
      <alignment horizontal="left"/>
    </xf>
    <xf numFmtId="164" fontId="19" fillId="0" borderId="0" xfId="1535" applyNumberFormat="1" applyFont="1"/>
    <xf numFmtId="49" fontId="11" fillId="0" borderId="0" xfId="1409" applyNumberFormat="1" applyFont="1" applyAlignment="1">
      <alignment horizontal="center"/>
    </xf>
    <xf numFmtId="49" fontId="11" fillId="0" borderId="0" xfId="1409" applyNumberFormat="1" applyFont="1" applyAlignment="1">
      <alignment horizontal="left"/>
    </xf>
    <xf numFmtId="0" fontId="13" fillId="0" borderId="0" xfId="1409" quotePrefix="1" applyFont="1" applyAlignment="1">
      <alignment horizontal="center"/>
    </xf>
    <xf numFmtId="0" fontId="21" fillId="0" borderId="0" xfId="1409" quotePrefix="1" applyFont="1" applyAlignment="1">
      <alignment horizontal="center"/>
    </xf>
    <xf numFmtId="190" fontId="21" fillId="0" borderId="0" xfId="1409" applyNumberFormat="1" applyFont="1" applyAlignment="1">
      <alignment horizontal="center"/>
    </xf>
    <xf numFmtId="14" fontId="8" fillId="0" borderId="0" xfId="1409" applyNumberFormat="1" applyAlignment="1">
      <alignment horizontal="center" wrapText="1"/>
    </xf>
    <xf numFmtId="0" fontId="8" fillId="27" borderId="0" xfId="198" quotePrefix="1" applyNumberFormat="1" applyFont="1" applyFill="1" applyBorder="1" applyAlignment="1" applyProtection="1">
      <alignment horizontal="center"/>
    </xf>
    <xf numFmtId="173" fontId="8" fillId="27" borderId="0" xfId="0" applyNumberFormat="1" applyFont="1" applyFill="1" applyAlignment="1">
      <alignment horizontal="center"/>
    </xf>
    <xf numFmtId="0" fontId="8" fillId="0" borderId="2" xfId="1409" applyBorder="1"/>
    <xf numFmtId="173" fontId="8" fillId="0" borderId="2" xfId="1409" applyNumberFormat="1" applyBorder="1"/>
    <xf numFmtId="43" fontId="8" fillId="0" borderId="0" xfId="1533" applyFont="1" applyFill="1" applyBorder="1" applyProtection="1"/>
    <xf numFmtId="43" fontId="81" fillId="0" borderId="0" xfId="1533" applyFont="1" applyFill="1" applyBorder="1" applyProtection="1"/>
    <xf numFmtId="43" fontId="11" fillId="0" borderId="0" xfId="1533" applyFont="1" applyFill="1" applyBorder="1" applyProtection="1"/>
    <xf numFmtId="43" fontId="13" fillId="0" borderId="0" xfId="1533" applyFont="1" applyFill="1" applyBorder="1" applyProtection="1"/>
    <xf numFmtId="1" fontId="8" fillId="0" borderId="0" xfId="1409" applyNumberFormat="1" applyAlignment="1">
      <alignment horizontal="center"/>
    </xf>
    <xf numFmtId="43" fontId="8" fillId="27" borderId="0" xfId="1533" applyFont="1" applyFill="1" applyBorder="1" applyProtection="1"/>
    <xf numFmtId="43" fontId="81" fillId="27" borderId="0" xfId="1533" applyFont="1" applyFill="1" applyBorder="1" applyProtection="1"/>
    <xf numFmtId="43" fontId="8" fillId="27" borderId="0" xfId="1533" applyFont="1" applyFill="1" applyBorder="1" applyAlignment="1" applyProtection="1">
      <alignment horizontal="center"/>
    </xf>
    <xf numFmtId="0" fontId="8" fillId="27" borderId="0" xfId="1533" applyNumberFormat="1" applyFont="1" applyFill="1" applyBorder="1" applyAlignment="1" applyProtection="1">
      <alignment horizontal="center"/>
    </xf>
    <xf numFmtId="173" fontId="8" fillId="27" borderId="0" xfId="1533" applyNumberFormat="1" applyFont="1" applyFill="1" applyBorder="1" applyProtection="1"/>
    <xf numFmtId="0" fontId="8" fillId="27" borderId="0" xfId="1533" quotePrefix="1" applyNumberFormat="1" applyFont="1" applyFill="1" applyBorder="1" applyAlignment="1" applyProtection="1">
      <alignment horizontal="center"/>
    </xf>
    <xf numFmtId="43" fontId="8" fillId="0" borderId="2" xfId="1533" applyFont="1" applyFill="1" applyBorder="1" applyProtection="1"/>
    <xf numFmtId="43" fontId="81" fillId="0" borderId="2" xfId="1533" applyFont="1" applyFill="1" applyBorder="1" applyProtection="1"/>
    <xf numFmtId="0" fontId="8" fillId="0" borderId="2" xfId="1533" applyNumberFormat="1" applyFont="1" applyFill="1" applyBorder="1" applyAlignment="1" applyProtection="1">
      <alignment horizontal="center"/>
    </xf>
    <xf numFmtId="173" fontId="8" fillId="0" borderId="2" xfId="1533" applyNumberFormat="1" applyFont="1" applyFill="1" applyBorder="1" applyProtection="1"/>
    <xf numFmtId="0" fontId="8" fillId="0" borderId="0" xfId="1533" applyNumberFormat="1" applyFont="1" applyFill="1" applyBorder="1" applyAlignment="1" applyProtection="1">
      <alignment horizontal="center"/>
    </xf>
    <xf numFmtId="173" fontId="8" fillId="0" borderId="0" xfId="1533" applyNumberFormat="1" applyFont="1" applyFill="1" applyBorder="1" applyProtection="1"/>
    <xf numFmtId="43" fontId="8" fillId="27" borderId="0" xfId="202" applyFont="1" applyFill="1" applyBorder="1" applyProtection="1"/>
    <xf numFmtId="43" fontId="8" fillId="27" borderId="0" xfId="202" applyFont="1" applyFill="1" applyBorder="1" applyAlignment="1" applyProtection="1">
      <alignment horizontal="center"/>
    </xf>
    <xf numFmtId="0" fontId="195" fillId="0" borderId="0" xfId="1409" applyFont="1"/>
    <xf numFmtId="0" fontId="8" fillId="0" borderId="11" xfId="1409" applyBorder="1"/>
    <xf numFmtId="0" fontId="8" fillId="0" borderId="11" xfId="1409" applyBorder="1" applyAlignment="1">
      <alignment horizontal="center" wrapText="1"/>
    </xf>
    <xf numFmtId="190" fontId="21" fillId="0" borderId="11" xfId="1409" applyNumberFormat="1" applyFont="1" applyBorder="1" applyAlignment="1">
      <alignment horizontal="center" wrapText="1"/>
    </xf>
    <xf numFmtId="0" fontId="21" fillId="0" borderId="11" xfId="1409" quotePrefix="1" applyFont="1" applyBorder="1" applyAlignment="1">
      <alignment horizontal="center" wrapText="1"/>
    </xf>
    <xf numFmtId="14" fontId="8" fillId="27" borderId="0" xfId="1533" applyNumberFormat="1" applyFont="1" applyFill="1" applyBorder="1" applyAlignment="1" applyProtection="1">
      <alignment horizontal="center"/>
    </xf>
    <xf numFmtId="1" fontId="8" fillId="27" borderId="0" xfId="198" applyNumberFormat="1" applyFont="1" applyFill="1" applyBorder="1" applyAlignment="1" applyProtection="1">
      <alignment horizontal="center"/>
    </xf>
    <xf numFmtId="3" fontId="58" fillId="0" borderId="0" xfId="1528" applyNumberFormat="1" applyFont="1"/>
    <xf numFmtId="3" fontId="58" fillId="0" borderId="0" xfId="1528" applyNumberFormat="1" applyFont="1" applyAlignment="1">
      <alignment horizontal="center" vertical="top" wrapText="1"/>
    </xf>
    <xf numFmtId="3" fontId="58" fillId="0" borderId="0" xfId="1528" applyNumberFormat="1" applyFont="1" applyAlignment="1">
      <alignment wrapText="1"/>
    </xf>
    <xf numFmtId="3" fontId="58" fillId="0" borderId="0" xfId="1528" applyNumberFormat="1" applyFont="1" applyAlignment="1">
      <alignment horizontal="left" vertical="top" wrapText="1"/>
    </xf>
    <xf numFmtId="3" fontId="58" fillId="0" borderId="0" xfId="1528" applyNumberFormat="1" applyFont="1" applyAlignment="1">
      <alignment horizontal="left" wrapText="1"/>
    </xf>
    <xf numFmtId="0" fontId="11" fillId="0" borderId="0" xfId="1172" applyFont="1"/>
    <xf numFmtId="0" fontId="166" fillId="0" borderId="0" xfId="1172" applyFont="1"/>
    <xf numFmtId="0" fontId="202" fillId="0" borderId="0" xfId="1172" applyFont="1"/>
    <xf numFmtId="0" fontId="202" fillId="0" borderId="0" xfId="1172" applyFont="1" applyAlignment="1">
      <alignment horizontal="center"/>
    </xf>
    <xf numFmtId="0" fontId="202" fillId="0" borderId="69" xfId="1172" applyFont="1" applyBorder="1" applyAlignment="1">
      <alignment horizontal="center"/>
    </xf>
    <xf numFmtId="0" fontId="203" fillId="0" borderId="0" xfId="1172" applyFont="1" applyAlignment="1">
      <alignment horizontal="center"/>
    </xf>
    <xf numFmtId="0" fontId="203" fillId="0" borderId="0" xfId="1172" applyFont="1"/>
    <xf numFmtId="175" fontId="203" fillId="0" borderId="0" xfId="1172" applyNumberFormat="1" applyFont="1" applyAlignment="1">
      <alignment horizontal="center"/>
    </xf>
    <xf numFmtId="199" fontId="203" fillId="0" borderId="0" xfId="1172" applyNumberFormat="1" applyFont="1" applyAlignment="1">
      <alignment horizontal="center"/>
    </xf>
    <xf numFmtId="0" fontId="204" fillId="0" borderId="70" xfId="1172" applyFont="1" applyBorder="1"/>
    <xf numFmtId="0" fontId="166" fillId="0" borderId="70" xfId="1172" applyFont="1" applyBorder="1"/>
    <xf numFmtId="0" fontId="204" fillId="0" borderId="0" xfId="1172" applyFont="1"/>
    <xf numFmtId="0" fontId="75" fillId="0" borderId="0" xfId="1172" applyFont="1" applyAlignment="1">
      <alignment horizontal="center"/>
    </xf>
    <xf numFmtId="0" fontId="204" fillId="0" borderId="69" xfId="1172" applyFont="1" applyBorder="1"/>
    <xf numFmtId="0" fontId="166" fillId="0" borderId="69" xfId="1172" applyFont="1" applyBorder="1"/>
    <xf numFmtId="10" fontId="8" fillId="0" borderId="0" xfId="799" applyNumberFormat="1"/>
    <xf numFmtId="0" fontId="75" fillId="0" borderId="0" xfId="1172" applyFont="1"/>
    <xf numFmtId="0" fontId="205" fillId="0" borderId="69" xfId="1172" applyFont="1" applyBorder="1"/>
    <xf numFmtId="0" fontId="15" fillId="0" borderId="0" xfId="883" applyFont="1" applyAlignment="1">
      <alignment horizontal="center" vertical="top"/>
    </xf>
    <xf numFmtId="0" fontId="8" fillId="0" borderId="67" xfId="1173" applyBorder="1" applyAlignment="1">
      <alignment horizontal="left"/>
    </xf>
    <xf numFmtId="0" fontId="8" fillId="0" borderId="78" xfId="1173" applyBorder="1" applyAlignment="1">
      <alignment horizontal="left"/>
    </xf>
    <xf numFmtId="173" fontId="8" fillId="0" borderId="0" xfId="198" applyNumberFormat="1" applyFont="1" applyFill="1" applyBorder="1" applyAlignment="1"/>
    <xf numFmtId="1" fontId="159" fillId="0" borderId="0" xfId="1208" applyNumberFormat="1" applyFont="1"/>
    <xf numFmtId="1" fontId="8" fillId="0" borderId="0" xfId="1208" applyNumberFormat="1"/>
    <xf numFmtId="1" fontId="8" fillId="0" borderId="0" xfId="1208" applyNumberFormat="1" applyAlignment="1">
      <alignment horizontal="center"/>
    </xf>
    <xf numFmtId="1" fontId="13" fillId="0" borderId="0" xfId="1208" applyNumberFormat="1" applyFont="1" applyAlignment="1">
      <alignment horizontal="centerContinuous"/>
    </xf>
    <xf numFmtId="1" fontId="13" fillId="0" borderId="0" xfId="1208" quotePrefix="1" applyNumberFormat="1" applyFont="1" applyAlignment="1">
      <alignment horizontal="centerContinuous"/>
    </xf>
    <xf numFmtId="1" fontId="8" fillId="0" borderId="0" xfId="1208" applyNumberFormat="1" applyAlignment="1">
      <alignment horizontal="centerContinuous"/>
    </xf>
    <xf numFmtId="1" fontId="10" fillId="0" borderId="0" xfId="1208" applyNumberFormat="1" applyFont="1" applyAlignment="1">
      <alignment horizontal="centerContinuous"/>
    </xf>
    <xf numFmtId="1" fontId="24" fillId="0" borderId="0" xfId="1208" applyNumberFormat="1" applyFont="1"/>
    <xf numFmtId="1" fontId="25" fillId="0" borderId="0" xfId="1208" applyNumberFormat="1" applyFont="1" applyAlignment="1">
      <alignment horizontal="centerContinuous"/>
    </xf>
    <xf numFmtId="1" fontId="24" fillId="0" borderId="0" xfId="1208" applyNumberFormat="1" applyFont="1" applyAlignment="1">
      <alignment horizontal="left"/>
    </xf>
    <xf numFmtId="1" fontId="25" fillId="0" borderId="0" xfId="1415" applyNumberFormat="1" applyFont="1" applyAlignment="1">
      <alignment horizontal="center" wrapText="1"/>
    </xf>
    <xf numFmtId="1" fontId="25" fillId="0" borderId="0" xfId="1208" applyNumberFormat="1" applyFont="1" applyAlignment="1">
      <alignment horizontal="right"/>
    </xf>
    <xf numFmtId="1" fontId="25" fillId="0" borderId="0" xfId="1208" applyNumberFormat="1" applyFont="1" applyAlignment="1">
      <alignment horizontal="center"/>
    </xf>
    <xf numFmtId="1" fontId="24" fillId="0" borderId="0" xfId="1208" applyNumberFormat="1" applyFont="1" applyAlignment="1">
      <alignment horizontal="center"/>
    </xf>
    <xf numFmtId="1" fontId="25" fillId="0" borderId="6" xfId="1208" applyNumberFormat="1" applyFont="1" applyBorder="1"/>
    <xf numFmtId="1" fontId="24" fillId="0" borderId="6" xfId="1208" applyNumberFormat="1" applyFont="1" applyBorder="1"/>
    <xf numFmtId="1" fontId="87" fillId="0" borderId="0" xfId="1208" applyNumberFormat="1" applyFont="1"/>
    <xf numFmtId="173" fontId="25" fillId="27" borderId="0" xfId="1538" applyNumberFormat="1" applyFont="1" applyFill="1" applyAlignment="1" applyProtection="1">
      <alignment horizontal="left"/>
    </xf>
    <xf numFmtId="173" fontId="24" fillId="27" borderId="0" xfId="1538" applyNumberFormat="1" applyFont="1" applyFill="1" applyAlignment="1" applyProtection="1">
      <alignment horizontal="left"/>
    </xf>
    <xf numFmtId="187" fontId="8" fillId="0" borderId="0" xfId="1496" applyNumberFormat="1" applyFont="1" applyFill="1" applyAlignment="1" applyProtection="1">
      <alignment horizontal="center"/>
    </xf>
    <xf numFmtId="1" fontId="25" fillId="0" borderId="0" xfId="1208" applyNumberFormat="1" applyFont="1"/>
    <xf numFmtId="193" fontId="24" fillId="0" borderId="0" xfId="1208" applyNumberFormat="1" applyFont="1"/>
    <xf numFmtId="1" fontId="24" fillId="0" borderId="0" xfId="1201" applyNumberFormat="1" applyFont="1" applyFill="1" applyProtection="1"/>
    <xf numFmtId="1" fontId="25" fillId="0" borderId="11" xfId="1208" applyNumberFormat="1" applyFont="1" applyBorder="1" applyAlignment="1">
      <alignment horizontal="centerContinuous"/>
    </xf>
    <xf numFmtId="1" fontId="24" fillId="0" borderId="11" xfId="1208" applyNumberFormat="1" applyFont="1" applyBorder="1" applyAlignment="1">
      <alignment horizontal="centerContinuous"/>
    </xf>
    <xf numFmtId="3" fontId="24" fillId="27" borderId="0" xfId="0" applyNumberFormat="1" applyFont="1" applyFill="1" applyAlignment="1">
      <alignment wrapText="1"/>
    </xf>
    <xf numFmtId="1" fontId="8" fillId="0" borderId="0" xfId="1208" applyNumberFormat="1" applyAlignment="1">
      <alignment horizontal="right"/>
    </xf>
    <xf numFmtId="1" fontId="24" fillId="0" borderId="0" xfId="1208" quotePrefix="1" applyNumberFormat="1" applyFont="1" applyAlignment="1">
      <alignment horizontal="left"/>
    </xf>
    <xf numFmtId="1" fontId="13" fillId="0" borderId="6" xfId="1208" applyNumberFormat="1" applyFont="1" applyBorder="1"/>
    <xf numFmtId="1" fontId="8" fillId="0" borderId="6" xfId="1208" applyNumberFormat="1" applyBorder="1"/>
    <xf numFmtId="1" fontId="25" fillId="0" borderId="0" xfId="1208" applyNumberFormat="1" applyFont="1" applyAlignment="1">
      <alignment horizontal="left"/>
    </xf>
    <xf numFmtId="1" fontId="24" fillId="67" borderId="0" xfId="0" applyNumberFormat="1" applyFont="1" applyFill="1"/>
    <xf numFmtId="1" fontId="24" fillId="67" borderId="0" xfId="0" applyNumberFormat="1" applyFont="1" applyFill="1" applyAlignment="1">
      <alignment horizontal="right"/>
    </xf>
    <xf numFmtId="1" fontId="24" fillId="67" borderId="0" xfId="0" quotePrefix="1" applyNumberFormat="1" applyFont="1" applyFill="1" applyAlignment="1">
      <alignment horizontal="center"/>
    </xf>
    <xf numFmtId="1" fontId="24" fillId="0" borderId="0" xfId="0" applyNumberFormat="1" applyFont="1"/>
    <xf numFmtId="1" fontId="24" fillId="0" borderId="0" xfId="0" applyNumberFormat="1" applyFont="1" applyAlignment="1">
      <alignment horizontal="center"/>
    </xf>
    <xf numFmtId="1" fontId="24" fillId="67" borderId="0" xfId="0" quotePrefix="1" applyNumberFormat="1" applyFont="1" applyFill="1" applyAlignment="1">
      <alignment horizontal="center" vertical="top"/>
    </xf>
    <xf numFmtId="1" fontId="24" fillId="68" borderId="0" xfId="0" applyNumberFormat="1" applyFont="1" applyFill="1"/>
    <xf numFmtId="0" fontId="24" fillId="0" borderId="0" xfId="0" quotePrefix="1" applyFont="1" applyAlignment="1">
      <alignment horizontal="left"/>
    </xf>
    <xf numFmtId="199" fontId="88" fillId="27" borderId="0" xfId="0" applyNumberFormat="1" applyFont="1" applyFill="1" applyAlignment="1">
      <alignment horizontal="left"/>
    </xf>
    <xf numFmtId="3" fontId="23" fillId="27" borderId="0" xfId="0" quotePrefix="1" applyNumberFormat="1" applyFont="1" applyFill="1" applyAlignment="1">
      <alignment horizontal="left" wrapText="1"/>
    </xf>
    <xf numFmtId="173" fontId="8" fillId="0" borderId="0" xfId="882" applyNumberFormat="1" applyFont="1"/>
    <xf numFmtId="0" fontId="0" fillId="0" borderId="0" xfId="0" quotePrefix="1" applyAlignment="1">
      <alignment horizontal="center" vertical="center"/>
    </xf>
    <xf numFmtId="172" fontId="11" fillId="0" borderId="0" xfId="881" applyFont="1" applyAlignment="1">
      <alignment horizontal="center"/>
    </xf>
    <xf numFmtId="0" fontId="12" fillId="0" borderId="0" xfId="775" applyFont="1" applyAlignment="1">
      <alignment horizontal="center"/>
    </xf>
    <xf numFmtId="173" fontId="8" fillId="0" borderId="0" xfId="1172" applyNumberFormat="1"/>
    <xf numFmtId="173" fontId="8" fillId="0" borderId="0" xfId="198" applyNumberFormat="1" applyFont="1" applyProtection="1"/>
    <xf numFmtId="38" fontId="11" fillId="0" borderId="0" xfId="878" applyNumberFormat="1" applyFont="1"/>
    <xf numFmtId="173" fontId="88" fillId="27" borderId="51" xfId="0" applyNumberFormat="1" applyFont="1" applyFill="1" applyBorder="1"/>
    <xf numFmtId="0" fontId="216" fillId="0" borderId="0" xfId="0" applyFont="1" applyAlignment="1">
      <alignment horizontal="center"/>
    </xf>
    <xf numFmtId="10" fontId="88" fillId="0" borderId="0" xfId="899" applyNumberFormat="1" applyFont="1" applyFill="1" applyBorder="1" applyProtection="1"/>
    <xf numFmtId="1" fontId="88" fillId="0" borderId="32" xfId="0" quotePrefix="1" applyNumberFormat="1" applyFont="1" applyBorder="1" applyAlignment="1">
      <alignment horizontal="right"/>
    </xf>
    <xf numFmtId="173" fontId="16" fillId="0" borderId="0" xfId="760" applyNumberFormat="1"/>
    <xf numFmtId="186" fontId="19" fillId="0" borderId="0" xfId="862" applyNumberFormat="1" applyFont="1"/>
    <xf numFmtId="14" fontId="19" fillId="0" borderId="0" xfId="862" quotePrefix="1" applyNumberFormat="1" applyFont="1" applyAlignment="1">
      <alignment horizontal="left"/>
    </xf>
    <xf numFmtId="0" fontId="88" fillId="27" borderId="0" xfId="0" applyFont="1" applyFill="1" applyAlignment="1">
      <alignment horizontal="center"/>
    </xf>
    <xf numFmtId="43" fontId="158" fillId="0" borderId="0" xfId="198" applyFont="1" applyFill="1" applyProtection="1"/>
    <xf numFmtId="173" fontId="90" fillId="0" borderId="0" xfId="311" applyNumberFormat="1" applyFont="1" applyFill="1" applyBorder="1"/>
    <xf numFmtId="0" fontId="88" fillId="27" borderId="0" xfId="1201" applyNumberFormat="1" applyFont="1" applyFill="1" applyBorder="1" applyAlignment="1" applyProtection="1">
      <alignment horizontal="center"/>
    </xf>
    <xf numFmtId="41" fontId="11" fillId="60" borderId="0" xfId="1176" applyNumberFormat="1" applyFont="1" applyFill="1"/>
    <xf numFmtId="43" fontId="19" fillId="0" borderId="0" xfId="878" applyNumberFormat="1" applyFont="1"/>
    <xf numFmtId="173" fontId="190" fillId="60" borderId="0" xfId="198" applyNumberFormat="1" applyFont="1" applyFill="1" applyProtection="1"/>
    <xf numFmtId="173" fontId="190" fillId="60" borderId="0" xfId="198" applyNumberFormat="1" applyFont="1" applyFill="1" applyBorder="1" applyProtection="1"/>
    <xf numFmtId="173" fontId="190" fillId="60" borderId="0" xfId="198" applyNumberFormat="1" applyFont="1" applyFill="1" applyBorder="1" applyAlignment="1" applyProtection="1">
      <alignment horizontal="center"/>
    </xf>
    <xf numFmtId="173" fontId="190" fillId="0" borderId="0" xfId="198" applyNumberFormat="1" applyFont="1" applyFill="1" applyBorder="1" applyAlignment="1" applyProtection="1">
      <alignment horizontal="left" wrapText="1"/>
    </xf>
    <xf numFmtId="173" fontId="190" fillId="0" borderId="14" xfId="198" applyNumberFormat="1" applyFont="1" applyBorder="1" applyAlignment="1" applyProtection="1">
      <alignment horizontal="left" wrapText="1"/>
    </xf>
    <xf numFmtId="173" fontId="190" fillId="0" borderId="14" xfId="198" applyNumberFormat="1" applyFont="1" applyBorder="1" applyAlignment="1" applyProtection="1">
      <alignment horizontal="center"/>
    </xf>
    <xf numFmtId="0" fontId="88" fillId="0" borderId="0" xfId="0" applyFont="1" applyAlignment="1">
      <alignment horizontal="center"/>
    </xf>
    <xf numFmtId="0" fontId="88" fillId="0" borderId="0" xfId="0" applyFont="1" applyAlignment="1">
      <alignment horizontal="left"/>
    </xf>
    <xf numFmtId="194" fontId="25" fillId="0" borderId="0" xfId="1415" applyNumberFormat="1" applyFont="1" applyAlignment="1">
      <alignment horizontal="center" wrapText="1"/>
    </xf>
    <xf numFmtId="3" fontId="24" fillId="0" borderId="49" xfId="791" applyNumberFormat="1" applyFont="1" applyBorder="1" applyAlignment="1">
      <alignment horizontal="center" wrapText="1"/>
    </xf>
    <xf numFmtId="0" fontId="13" fillId="0" borderId="51" xfId="1173" applyFont="1" applyBorder="1" applyAlignment="1">
      <alignment horizontal="center" wrapText="1"/>
    </xf>
    <xf numFmtId="3" fontId="11" fillId="0" borderId="0" xfId="881" applyNumberFormat="1" applyFont="1" applyAlignment="1" applyProtection="1">
      <alignment horizontal="center" wrapText="1"/>
    </xf>
    <xf numFmtId="173" fontId="11" fillId="0" borderId="0" xfId="878" applyNumberFormat="1" applyFont="1"/>
    <xf numFmtId="173" fontId="11" fillId="0" borderId="0" xfId="198" applyNumberFormat="1" applyFont="1" applyFill="1" applyAlignment="1" applyProtection="1">
      <alignment horizontal="center" vertical="center"/>
    </xf>
    <xf numFmtId="173" fontId="64" fillId="0" borderId="0" xfId="882" applyNumberFormat="1" applyFont="1" applyAlignment="1">
      <alignment vertical="center"/>
    </xf>
    <xf numFmtId="173" fontId="88" fillId="0" borderId="0" xfId="198" applyNumberFormat="1" applyFont="1" applyFill="1" applyAlignment="1" applyProtection="1">
      <alignment vertical="center"/>
    </xf>
    <xf numFmtId="0" fontId="24" fillId="0" borderId="0" xfId="1539" applyFont="1"/>
    <xf numFmtId="0" fontId="24" fillId="0" borderId="0" xfId="1540" applyFont="1" applyAlignment="1">
      <alignment horizontal="center"/>
    </xf>
    <xf numFmtId="0" fontId="24" fillId="0" borderId="0" xfId="1540" applyFont="1"/>
    <xf numFmtId="0" fontId="11" fillId="0" borderId="0" xfId="1540" applyFont="1"/>
    <xf numFmtId="14" fontId="24" fillId="0" borderId="0" xfId="1540" applyNumberFormat="1" applyFont="1"/>
    <xf numFmtId="0" fontId="8" fillId="0" borderId="0" xfId="1540" applyFont="1" applyAlignment="1">
      <alignment horizontal="right"/>
    </xf>
    <xf numFmtId="0" fontId="24" fillId="0" borderId="0" xfId="1528" applyFont="1"/>
    <xf numFmtId="172" fontId="217" fillId="0" borderId="0" xfId="1541"/>
    <xf numFmtId="9" fontId="24" fillId="0" borderId="0" xfId="1542" applyFont="1"/>
    <xf numFmtId="41" fontId="24" fillId="0" borderId="0" xfId="1540" applyNumberFormat="1" applyFont="1"/>
    <xf numFmtId="172" fontId="24" fillId="0" borderId="0" xfId="1541" applyFont="1"/>
    <xf numFmtId="0" fontId="25" fillId="0" borderId="0" xfId="1540" applyFont="1"/>
    <xf numFmtId="0" fontId="25" fillId="0" borderId="11" xfId="1539" applyFont="1" applyBorder="1"/>
    <xf numFmtId="0" fontId="25" fillId="0" borderId="11" xfId="1539" applyFont="1" applyBorder="1" applyAlignment="1">
      <alignment horizontal="center"/>
    </xf>
    <xf numFmtId="0" fontId="25" fillId="0" borderId="11" xfId="1539" applyFont="1" applyBorder="1" applyAlignment="1">
      <alignment horizontal="center" wrapText="1"/>
    </xf>
    <xf numFmtId="0" fontId="25" fillId="0" borderId="79" xfId="1539" applyFont="1" applyBorder="1" applyAlignment="1">
      <alignment horizontal="center" wrapText="1"/>
    </xf>
    <xf numFmtId="0" fontId="25" fillId="0" borderId="0" xfId="1540" applyFont="1" applyAlignment="1">
      <alignment horizontal="center"/>
    </xf>
    <xf numFmtId="0" fontId="25" fillId="0" borderId="0" xfId="1540" applyFont="1" applyAlignment="1">
      <alignment horizontal="center" wrapText="1"/>
    </xf>
    <xf numFmtId="0" fontId="25" fillId="0" borderId="0" xfId="1540" applyFont="1" applyAlignment="1">
      <alignment horizontal="left"/>
    </xf>
    <xf numFmtId="0" fontId="24" fillId="69" borderId="0" xfId="1540" applyFont="1" applyFill="1"/>
    <xf numFmtId="49" fontId="24" fillId="0" borderId="0" xfId="1540" applyNumberFormat="1" applyFont="1" applyAlignment="1">
      <alignment horizontal="center"/>
    </xf>
    <xf numFmtId="41" fontId="24" fillId="70" borderId="80" xfId="1176" applyNumberFormat="1" applyFont="1" applyFill="1" applyBorder="1" applyProtection="1">
      <protection locked="0"/>
    </xf>
    <xf numFmtId="173" fontId="24" fillId="71" borderId="80" xfId="1543" applyNumberFormat="1" applyFont="1" applyFill="1" applyBorder="1"/>
    <xf numFmtId="173" fontId="24" fillId="71" borderId="0" xfId="1543" applyNumberFormat="1" applyFont="1" applyFill="1" applyBorder="1"/>
    <xf numFmtId="41" fontId="24" fillId="70" borderId="0" xfId="1176" applyNumberFormat="1" applyFont="1" applyFill="1" applyProtection="1">
      <protection locked="0"/>
    </xf>
    <xf numFmtId="41" fontId="24" fillId="0" borderId="0" xfId="1540" applyNumberFormat="1" applyFont="1" applyAlignment="1">
      <alignment horizontal="center"/>
    </xf>
    <xf numFmtId="41" fontId="24" fillId="70" borderId="82" xfId="1176" applyNumberFormat="1" applyFont="1" applyFill="1" applyBorder="1" applyProtection="1">
      <protection locked="0"/>
    </xf>
    <xf numFmtId="41" fontId="24" fillId="70" borderId="68" xfId="1176" applyNumberFormat="1" applyFont="1" applyFill="1" applyBorder="1" applyProtection="1">
      <protection locked="0"/>
    </xf>
    <xf numFmtId="41" fontId="24" fillId="70" borderId="51" xfId="1176" applyNumberFormat="1" applyFont="1" applyFill="1" applyBorder="1" applyAlignment="1" applyProtection="1">
      <alignment vertical="center" wrapText="1"/>
      <protection locked="0"/>
    </xf>
    <xf numFmtId="173" fontId="24" fillId="0" borderId="0" xfId="1544" applyNumberFormat="1" applyFont="1" applyBorder="1" applyAlignment="1">
      <alignment horizontal="center"/>
    </xf>
    <xf numFmtId="173" fontId="24" fillId="0" borderId="83" xfId="1543" applyNumberFormat="1" applyFont="1" applyFill="1" applyBorder="1"/>
    <xf numFmtId="173" fontId="24" fillId="71" borderId="83" xfId="1543" applyNumberFormat="1" applyFont="1" applyFill="1" applyBorder="1"/>
    <xf numFmtId="173" fontId="24" fillId="71" borderId="82" xfId="1543" applyNumberFormat="1" applyFont="1" applyFill="1" applyBorder="1"/>
    <xf numFmtId="41" fontId="13" fillId="0" borderId="0" xfId="1540" applyNumberFormat="1" applyFont="1"/>
    <xf numFmtId="173" fontId="24" fillId="0" borderId="82" xfId="1543" applyNumberFormat="1" applyFont="1" applyFill="1" applyBorder="1"/>
    <xf numFmtId="41" fontId="24" fillId="70" borderId="51" xfId="1176" applyNumberFormat="1" applyFont="1" applyFill="1" applyBorder="1" applyAlignment="1" applyProtection="1">
      <alignment vertical="top"/>
      <protection locked="0"/>
    </xf>
    <xf numFmtId="172" fontId="219" fillId="0" borderId="0" xfId="1541" applyFont="1"/>
    <xf numFmtId="172" fontId="220" fillId="0" borderId="0" xfId="1541" applyFont="1"/>
    <xf numFmtId="172" fontId="24" fillId="0" borderId="0" xfId="1528" applyNumberFormat="1" applyFont="1"/>
    <xf numFmtId="0" fontId="24" fillId="0" borderId="0" xfId="1540" applyFont="1" applyAlignment="1">
      <alignment wrapText="1"/>
    </xf>
    <xf numFmtId="41" fontId="24" fillId="70" borderId="84" xfId="1176" applyNumberFormat="1" applyFont="1" applyFill="1" applyBorder="1" applyProtection="1">
      <protection locked="0"/>
    </xf>
    <xf numFmtId="173" fontId="24" fillId="0" borderId="0" xfId="1543" applyNumberFormat="1" applyFont="1" applyFill="1" applyBorder="1"/>
    <xf numFmtId="173" fontId="24" fillId="0" borderId="0" xfId="1543" applyNumberFormat="1" applyFont="1" applyBorder="1" applyAlignment="1">
      <alignment wrapText="1"/>
    </xf>
    <xf numFmtId="0" fontId="24" fillId="0" borderId="0" xfId="1540" applyFont="1" applyAlignment="1">
      <alignment horizontal="left"/>
    </xf>
    <xf numFmtId="173" fontId="24" fillId="0" borderId="85" xfId="1544" applyNumberFormat="1" applyFont="1" applyBorder="1" applyAlignment="1"/>
    <xf numFmtId="176" fontId="24" fillId="0" borderId="85" xfId="1544" applyNumberFormat="1" applyFont="1" applyBorder="1" applyAlignment="1"/>
    <xf numFmtId="173" fontId="24" fillId="0" borderId="85" xfId="1544" applyNumberFormat="1" applyFont="1" applyFill="1" applyBorder="1" applyAlignment="1"/>
    <xf numFmtId="173" fontId="24" fillId="0" borderId="0" xfId="1543" applyNumberFormat="1" applyFont="1" applyAlignment="1">
      <alignment wrapText="1"/>
    </xf>
    <xf numFmtId="1" fontId="24" fillId="0" borderId="0" xfId="1544" applyNumberFormat="1" applyFont="1" applyBorder="1" applyAlignment="1"/>
    <xf numFmtId="176" fontId="24" fillId="0" borderId="0" xfId="1544" applyNumberFormat="1" applyFont="1" applyBorder="1" applyAlignment="1"/>
    <xf numFmtId="173" fontId="24" fillId="0" borderId="1" xfId="1544" applyNumberFormat="1" applyFont="1" applyBorder="1" applyAlignment="1">
      <alignment horizontal="center"/>
    </xf>
    <xf numFmtId="173" fontId="24" fillId="0" borderId="0" xfId="1544" applyNumberFormat="1" applyFont="1" applyBorder="1" applyAlignment="1"/>
    <xf numFmtId="173" fontId="24" fillId="61" borderId="83" xfId="1543" applyNumberFormat="1" applyFont="1" applyFill="1" applyBorder="1"/>
    <xf numFmtId="173" fontId="24" fillId="72" borderId="0" xfId="1543" applyNumberFormat="1" applyFont="1" applyFill="1" applyBorder="1"/>
    <xf numFmtId="173" fontId="24" fillId="0" borderId="0" xfId="1544" applyNumberFormat="1" applyFont="1"/>
    <xf numFmtId="173" fontId="24" fillId="0" borderId="0" xfId="1528" applyNumberFormat="1" applyFont="1"/>
    <xf numFmtId="41" fontId="24" fillId="0" borderId="0" xfId="1528" applyNumberFormat="1" applyFont="1"/>
    <xf numFmtId="173" fontId="24" fillId="72" borderId="83" xfId="1543" applyNumberFormat="1" applyFont="1" applyFill="1" applyBorder="1"/>
    <xf numFmtId="41" fontId="221" fillId="0" borderId="0" xfId="1540" applyNumberFormat="1" applyFont="1" applyAlignment="1">
      <alignment horizontal="center"/>
    </xf>
    <xf numFmtId="0" fontId="222" fillId="0" borderId="0" xfId="1540" applyFont="1"/>
    <xf numFmtId="8" fontId="24" fillId="0" borderId="0" xfId="1540" applyNumberFormat="1" applyFont="1"/>
    <xf numFmtId="173" fontId="24" fillId="0" borderId="0" xfId="1544" applyNumberFormat="1" applyFont="1" applyFill="1"/>
    <xf numFmtId="43" fontId="24" fillId="0" borderId="0" xfId="1540" applyNumberFormat="1" applyFont="1"/>
    <xf numFmtId="173" fontId="24" fillId="61" borderId="82" xfId="1543" applyNumberFormat="1" applyFont="1" applyFill="1" applyBorder="1"/>
    <xf numFmtId="0" fontId="24" fillId="0" borderId="0" xfId="1540" applyFont="1" applyAlignment="1">
      <alignment horizontal="center" wrapText="1"/>
    </xf>
    <xf numFmtId="173" fontId="24" fillId="0" borderId="0" xfId="1540" applyNumberFormat="1" applyFont="1"/>
    <xf numFmtId="0" fontId="24" fillId="0" borderId="0" xfId="1539" applyFont="1" applyAlignment="1">
      <alignment horizontal="center"/>
    </xf>
    <xf numFmtId="0" fontId="24" fillId="0" borderId="0" xfId="1539" applyFont="1" applyAlignment="1">
      <alignment wrapText="1"/>
    </xf>
    <xf numFmtId="0" fontId="24" fillId="0" borderId="0" xfId="1539" applyFont="1" applyAlignment="1">
      <alignment horizontal="left" vertical="center"/>
    </xf>
    <xf numFmtId="0" fontId="24" fillId="0" borderId="0" xfId="1539" applyFont="1" applyAlignment="1">
      <alignment vertical="top" wrapText="1"/>
    </xf>
    <xf numFmtId="0" fontId="24" fillId="0" borderId="0" xfId="1540" applyFont="1" applyAlignment="1">
      <alignment vertical="top"/>
    </xf>
    <xf numFmtId="0" fontId="24" fillId="0" borderId="0" xfId="1539" applyFont="1" applyAlignment="1">
      <alignment vertical="top"/>
    </xf>
    <xf numFmtId="0" fontId="24" fillId="0" borderId="0" xfId="1539" applyFont="1" applyAlignment="1">
      <alignment horizontal="left"/>
    </xf>
    <xf numFmtId="172" fontId="24" fillId="0" borderId="0" xfId="1541" applyFont="1" applyAlignment="1">
      <alignment vertical="center"/>
    </xf>
    <xf numFmtId="0" fontId="24" fillId="0" borderId="0" xfId="1540" applyFont="1" applyAlignment="1">
      <alignment horizontal="left" vertical="center"/>
    </xf>
    <xf numFmtId="0" fontId="25" fillId="0" borderId="0" xfId="1540" applyFont="1" applyAlignment="1">
      <alignment horizontal="left" vertical="center"/>
    </xf>
    <xf numFmtId="173" fontId="24" fillId="0" borderId="0" xfId="1540" applyNumberFormat="1" applyFont="1" applyAlignment="1">
      <alignment horizontal="left" vertical="center"/>
    </xf>
    <xf numFmtId="14" fontId="24" fillId="0" borderId="0" xfId="1539" applyNumberFormat="1" applyFont="1"/>
    <xf numFmtId="0" fontId="8" fillId="0" borderId="0" xfId="1539" applyFont="1" applyAlignment="1">
      <alignment horizontal="right"/>
    </xf>
    <xf numFmtId="41" fontId="24" fillId="0" borderId="0" xfId="1539" applyNumberFormat="1" applyFont="1"/>
    <xf numFmtId="0" fontId="25" fillId="0" borderId="0" xfId="1539" applyFont="1"/>
    <xf numFmtId="0" fontId="25" fillId="0" borderId="0" xfId="1539" applyFont="1" applyAlignment="1">
      <alignment horizontal="center"/>
    </xf>
    <xf numFmtId="0" fontId="25" fillId="0" borderId="0" xfId="1539" applyFont="1" applyAlignment="1">
      <alignment horizontal="center" wrapText="1"/>
    </xf>
    <xf numFmtId="0" fontId="25" fillId="0" borderId="0" xfId="1539" applyFont="1" applyAlignment="1">
      <alignment horizontal="left"/>
    </xf>
    <xf numFmtId="0" fontId="24" fillId="69" borderId="0" xfId="1539" applyFont="1" applyFill="1"/>
    <xf numFmtId="49" fontId="24" fillId="0" borderId="0" xfId="1539" applyNumberFormat="1" applyFont="1" applyAlignment="1">
      <alignment horizontal="center"/>
    </xf>
    <xf numFmtId="41" fontId="24" fillId="0" borderId="0" xfId="1539" applyNumberFormat="1" applyFont="1" applyAlignment="1">
      <alignment horizontal="center"/>
    </xf>
    <xf numFmtId="8" fontId="24" fillId="0" borderId="0" xfId="1539" applyNumberFormat="1" applyFont="1"/>
    <xf numFmtId="43" fontId="24" fillId="0" borderId="0" xfId="1539" applyNumberFormat="1" applyFont="1"/>
    <xf numFmtId="0" fontId="24" fillId="0" borderId="0" xfId="1539" applyFont="1" applyAlignment="1">
      <alignment horizontal="center" wrapText="1"/>
    </xf>
    <xf numFmtId="173" fontId="24" fillId="0" borderId="0" xfId="1539" applyNumberFormat="1" applyFont="1"/>
    <xf numFmtId="1" fontId="24" fillId="0" borderId="0" xfId="1544" applyNumberFormat="1" applyFont="1" applyBorder="1" applyAlignment="1">
      <alignment vertical="top"/>
    </xf>
    <xf numFmtId="0" fontId="25" fillId="0" borderId="0" xfId="1539" applyFont="1" applyAlignment="1">
      <alignment horizontal="left" vertical="center"/>
    </xf>
    <xf numFmtId="173" fontId="24" fillId="0" borderId="0" xfId="1539" applyNumberFormat="1" applyFont="1" applyAlignment="1">
      <alignment horizontal="left" vertical="center"/>
    </xf>
    <xf numFmtId="173" fontId="24" fillId="0" borderId="85" xfId="1544" applyNumberFormat="1" applyFont="1" applyBorder="1" applyAlignment="1">
      <alignment horizontal="left" indent="1"/>
    </xf>
    <xf numFmtId="173" fontId="24" fillId="0" borderId="0" xfId="1544" applyNumberFormat="1" applyFont="1" applyFill="1" applyBorder="1" applyAlignment="1">
      <alignment horizontal="center"/>
    </xf>
    <xf numFmtId="173" fontId="225" fillId="0" borderId="0" xfId="1558" applyNumberFormat="1" applyFont="1"/>
    <xf numFmtId="173" fontId="226" fillId="0" borderId="0" xfId="1558" applyNumberFormat="1" applyFont="1" applyAlignment="1">
      <alignment vertical="center"/>
    </xf>
    <xf numFmtId="173" fontId="226" fillId="0" borderId="0" xfId="1558" applyNumberFormat="1" applyFont="1"/>
    <xf numFmtId="49" fontId="225" fillId="0" borderId="0" xfId="1558" applyNumberFormat="1" applyFont="1"/>
    <xf numFmtId="173" fontId="225" fillId="0" borderId="0" xfId="1558" applyNumberFormat="1" applyFont="1" applyFill="1"/>
    <xf numFmtId="49" fontId="225" fillId="0" borderId="0" xfId="1558" applyNumberFormat="1" applyFont="1" applyFill="1"/>
    <xf numFmtId="173" fontId="225" fillId="0" borderId="0" xfId="1558" applyNumberFormat="1" applyFont="1" applyAlignment="1">
      <alignment horizontal="center"/>
    </xf>
    <xf numFmtId="173" fontId="225" fillId="0" borderId="0" xfId="1558" applyNumberFormat="1" applyFont="1" applyAlignment="1"/>
    <xf numFmtId="173" fontId="225" fillId="0" borderId="0" xfId="1558" applyNumberFormat="1" applyFont="1" applyFill="1" applyBorder="1"/>
    <xf numFmtId="173" fontId="225" fillId="0" borderId="0" xfId="1558" applyNumberFormat="1" applyFont="1" applyFill="1" applyBorder="1" applyAlignment="1">
      <alignment horizontal="center"/>
    </xf>
    <xf numFmtId="173" fontId="225" fillId="0" borderId="0" xfId="1558" applyNumberFormat="1" applyFont="1" applyBorder="1"/>
    <xf numFmtId="173" fontId="225" fillId="0" borderId="79" xfId="1547" applyNumberFormat="1" applyFont="1" applyFill="1" applyBorder="1"/>
    <xf numFmtId="173" fontId="225" fillId="0" borderId="0" xfId="1547" applyNumberFormat="1" applyFont="1" applyFill="1" applyBorder="1"/>
    <xf numFmtId="0" fontId="225" fillId="0" borderId="0" xfId="1559" applyFont="1" applyAlignment="1">
      <alignment vertical="top"/>
    </xf>
    <xf numFmtId="173" fontId="225" fillId="0" borderId="87" xfId="1547" applyNumberFormat="1" applyFont="1" applyBorder="1"/>
    <xf numFmtId="0" fontId="225" fillId="0" borderId="0" xfId="1559" applyFont="1"/>
    <xf numFmtId="0" fontId="226" fillId="0" borderId="0" xfId="1559" applyFont="1"/>
    <xf numFmtId="173" fontId="225" fillId="0" borderId="0" xfId="1558" applyNumberFormat="1" applyFont="1" applyFill="1" applyAlignment="1">
      <alignment horizontal="center"/>
    </xf>
    <xf numFmtId="173" fontId="225" fillId="0" borderId="0" xfId="1547" applyNumberFormat="1" applyFont="1" applyFill="1"/>
    <xf numFmtId="9" fontId="225" fillId="0" borderId="0" xfId="1556" applyFont="1" applyFill="1"/>
    <xf numFmtId="173" fontId="225" fillId="0" borderId="0" xfId="1547" applyNumberFormat="1" applyFont="1"/>
    <xf numFmtId="173" fontId="225" fillId="0" borderId="0" xfId="1556" applyNumberFormat="1" applyFont="1" applyFill="1"/>
    <xf numFmtId="10" fontId="225" fillId="0" borderId="0" xfId="1556" applyNumberFormat="1" applyFont="1" applyFill="1"/>
    <xf numFmtId="49" fontId="225" fillId="0" borderId="0" xfId="1547" applyNumberFormat="1" applyFont="1"/>
    <xf numFmtId="203" fontId="225" fillId="0" borderId="0" xfId="1547" applyNumberFormat="1" applyFont="1" applyFill="1"/>
    <xf numFmtId="173" fontId="225" fillId="0" borderId="0" xfId="1547" applyNumberFormat="1" applyFont="1" applyAlignment="1">
      <alignment horizontal="left"/>
    </xf>
    <xf numFmtId="173" fontId="225" fillId="0" borderId="11" xfId="1547" applyNumberFormat="1" applyFont="1" applyBorder="1"/>
    <xf numFmtId="173" fontId="227" fillId="0" borderId="0" xfId="1558" applyNumberFormat="1" applyFont="1" applyAlignment="1">
      <alignment horizontal="left"/>
    </xf>
    <xf numFmtId="10" fontId="226" fillId="0" borderId="0" xfId="1560" applyNumberFormat="1" applyFont="1"/>
    <xf numFmtId="173" fontId="225" fillId="0" borderId="0" xfId="1558" applyNumberFormat="1" applyFont="1" applyFill="1" applyAlignment="1">
      <alignment horizontal="center" wrapText="1"/>
    </xf>
    <xf numFmtId="10" fontId="225" fillId="0" borderId="0" xfId="1560" applyNumberFormat="1" applyFont="1" applyFill="1" applyAlignment="1">
      <alignment horizontal="center" wrapText="1"/>
    </xf>
    <xf numFmtId="173" fontId="225" fillId="0" borderId="79" xfId="1558" applyNumberFormat="1" applyFont="1" applyBorder="1"/>
    <xf numFmtId="173" fontId="225" fillId="0" borderId="79" xfId="1558" applyNumberFormat="1" applyFont="1" applyFill="1" applyBorder="1"/>
    <xf numFmtId="173" fontId="225" fillId="0" borderId="11" xfId="1558" applyNumberFormat="1" applyFont="1" applyBorder="1"/>
    <xf numFmtId="173" fontId="225" fillId="0" borderId="0" xfId="1558" applyNumberFormat="1" applyFont="1" applyAlignment="1">
      <alignment wrapText="1"/>
    </xf>
    <xf numFmtId="173" fontId="225" fillId="0" borderId="0" xfId="1558" applyNumberFormat="1" applyFont="1" applyAlignment="1">
      <alignment horizontal="center" wrapText="1"/>
    </xf>
    <xf numFmtId="173" fontId="227" fillId="0" borderId="0" xfId="1558" applyNumberFormat="1" applyFont="1"/>
    <xf numFmtId="173" fontId="225" fillId="0" borderId="0" xfId="1558" applyNumberFormat="1" applyFont="1" applyFill="1" applyAlignment="1">
      <alignment wrapText="1"/>
    </xf>
    <xf numFmtId="173" fontId="227" fillId="0" borderId="11" xfId="1558" applyNumberFormat="1" applyFont="1" applyFill="1" applyBorder="1" applyAlignment="1" applyProtection="1">
      <protection locked="0"/>
    </xf>
    <xf numFmtId="173" fontId="225" fillId="0" borderId="0" xfId="1558" applyNumberFormat="1" applyFont="1" applyAlignment="1">
      <alignment horizontal="right"/>
    </xf>
    <xf numFmtId="2" fontId="225" fillId="0" borderId="0" xfId="1545" applyNumberFormat="1" applyFont="1"/>
    <xf numFmtId="172" fontId="225" fillId="0" borderId="0" xfId="1545" applyFont="1"/>
    <xf numFmtId="170" fontId="225" fillId="0" borderId="0" xfId="1545" applyNumberFormat="1" applyFont="1"/>
    <xf numFmtId="172" fontId="228" fillId="0" borderId="0" xfId="1545" applyFont="1" applyAlignment="1">
      <alignment horizontal="right"/>
    </xf>
    <xf numFmtId="172" fontId="229" fillId="0" borderId="0" xfId="1546" applyFont="1" applyAlignment="1">
      <alignment horizontal="right"/>
    </xf>
    <xf numFmtId="172" fontId="225" fillId="0" borderId="0" xfId="1545" applyFont="1" applyAlignment="1">
      <alignment horizontal="right"/>
    </xf>
    <xf numFmtId="172" fontId="225" fillId="0" borderId="0" xfId="1546" applyFont="1" applyAlignment="1">
      <alignment horizontal="right"/>
    </xf>
    <xf numFmtId="41" fontId="227" fillId="0" borderId="11" xfId="1176" applyNumberFormat="1" applyFont="1" applyBorder="1" applyProtection="1">
      <protection locked="0"/>
    </xf>
    <xf numFmtId="2" fontId="225" fillId="0" borderId="0" xfId="1545" applyNumberFormat="1" applyFont="1" applyAlignment="1">
      <alignment horizontal="center"/>
    </xf>
    <xf numFmtId="172" fontId="225" fillId="0" borderId="0" xfId="1545" applyFont="1" applyAlignment="1">
      <alignment horizontal="center"/>
    </xf>
    <xf numFmtId="170" fontId="225" fillId="0" borderId="0" xfId="1545" applyNumberFormat="1" applyFont="1" applyAlignment="1">
      <alignment horizontal="center"/>
    </xf>
    <xf numFmtId="172" fontId="225" fillId="0" borderId="0" xfId="1545" applyFont="1" applyAlignment="1">
      <alignment wrapText="1"/>
    </xf>
    <xf numFmtId="170" fontId="225" fillId="0" borderId="0" xfId="1545" applyNumberFormat="1" applyFont="1" applyAlignment="1">
      <alignment horizontal="center" wrapText="1"/>
    </xf>
    <xf numFmtId="172" fontId="225" fillId="0" borderId="0" xfId="1545" applyFont="1" applyAlignment="1">
      <alignment horizontal="center" wrapText="1"/>
    </xf>
    <xf numFmtId="2" fontId="227" fillId="0" borderId="0" xfId="1545" applyNumberFormat="1" applyFont="1"/>
    <xf numFmtId="170" fontId="225" fillId="0" borderId="0" xfId="1547" applyNumberFormat="1" applyFont="1"/>
    <xf numFmtId="1" fontId="225" fillId="0" borderId="0" xfId="1545" applyNumberFormat="1" applyFont="1" applyAlignment="1">
      <alignment horizontal="center"/>
    </xf>
    <xf numFmtId="0" fontId="230" fillId="0" borderId="0" xfId="1548" applyFont="1" applyBorder="1">
      <alignment vertical="top"/>
    </xf>
    <xf numFmtId="172" fontId="225" fillId="0" borderId="0" xfId="1549" applyFont="1"/>
    <xf numFmtId="172" fontId="225" fillId="0" borderId="0" xfId="1549" applyFont="1" applyAlignment="1">
      <alignment horizontal="center" wrapText="1"/>
    </xf>
    <xf numFmtId="172" fontId="228" fillId="0" borderId="0" xfId="1549" applyFont="1"/>
    <xf numFmtId="41" fontId="223" fillId="0" borderId="0" xfId="1550" applyFont="1" applyFill="1" applyBorder="1" applyAlignment="1">
      <alignment vertical="top"/>
    </xf>
    <xf numFmtId="0" fontId="223" fillId="0" borderId="0" xfId="1548" applyBorder="1">
      <alignment vertical="top"/>
    </xf>
    <xf numFmtId="175" fontId="2" fillId="0" borderId="11" xfId="1551" applyNumberFormat="1" applyFont="1" applyFill="1" applyBorder="1" applyAlignment="1">
      <alignment vertical="top"/>
    </xf>
    <xf numFmtId="175" fontId="223" fillId="0" borderId="0" xfId="1551" applyNumberFormat="1" applyFont="1" applyFill="1" applyBorder="1" applyAlignment="1">
      <alignment vertical="top"/>
    </xf>
    <xf numFmtId="41" fontId="2" fillId="0" borderId="0" xfId="1550" applyFont="1" applyFill="1" applyBorder="1" applyAlignment="1">
      <alignment vertical="top"/>
    </xf>
    <xf numFmtId="10" fontId="2" fillId="0" borderId="11" xfId="1551" applyNumberFormat="1" applyFont="1" applyFill="1" applyBorder="1" applyAlignment="1">
      <alignment vertical="top"/>
    </xf>
    <xf numFmtId="41" fontId="223" fillId="0" borderId="11" xfId="1550" applyFont="1" applyFill="1" applyBorder="1" applyAlignment="1">
      <alignment vertical="top"/>
    </xf>
    <xf numFmtId="10" fontId="223" fillId="0" borderId="11" xfId="1548" applyNumberFormat="1" applyBorder="1">
      <alignment vertical="top"/>
    </xf>
    <xf numFmtId="49" fontId="231" fillId="0" borderId="0" xfId="1552" applyFont="1">
      <alignment horizontal="center" vertical="center" wrapText="1" indent="1"/>
    </xf>
    <xf numFmtId="175" fontId="223" fillId="0" borderId="11" xfId="1560" applyNumberFormat="1" applyFont="1" applyFill="1" applyBorder="1" applyAlignment="1">
      <alignment vertical="top"/>
    </xf>
    <xf numFmtId="10" fontId="2" fillId="0" borderId="11" xfId="1560" applyNumberFormat="1" applyFont="1" applyFill="1" applyBorder="1" applyAlignment="1">
      <alignment vertical="top"/>
    </xf>
    <xf numFmtId="173" fontId="225" fillId="0" borderId="0" xfId="1554" applyNumberFormat="1" applyFont="1" applyFill="1"/>
    <xf numFmtId="41" fontId="223" fillId="0" borderId="0" xfId="1548" applyNumberFormat="1" applyBorder="1">
      <alignment vertical="top"/>
    </xf>
    <xf numFmtId="172" fontId="228" fillId="0" borderId="0" xfId="1545" applyFont="1"/>
    <xf numFmtId="0" fontId="223" fillId="0" borderId="0" xfId="1555" applyBorder="1">
      <alignment vertical="top"/>
    </xf>
    <xf numFmtId="43" fontId="223" fillId="0" borderId="0" xfId="1548" applyNumberFormat="1" applyBorder="1">
      <alignment vertical="top"/>
    </xf>
    <xf numFmtId="0" fontId="223" fillId="0" borderId="0" xfId="1548" applyBorder="1" applyAlignment="1">
      <alignment vertical="top" wrapText="1"/>
    </xf>
    <xf numFmtId="173" fontId="232" fillId="0" borderId="0" xfId="1558" applyNumberFormat="1" applyFont="1" applyFill="1"/>
    <xf numFmtId="10" fontId="225" fillId="0" borderId="0" xfId="1560" applyNumberFormat="1" applyFont="1" applyFill="1" applyAlignment="1">
      <alignment horizontal="center"/>
    </xf>
    <xf numFmtId="41" fontId="223" fillId="0" borderId="11" xfId="1548" applyNumberFormat="1" applyBorder="1">
      <alignment vertical="top"/>
    </xf>
    <xf numFmtId="173" fontId="232" fillId="0" borderId="0" xfId="1558" applyNumberFormat="1" applyFont="1"/>
    <xf numFmtId="173" fontId="223" fillId="0" borderId="0" xfId="1558" applyNumberFormat="1" applyFont="1" applyFill="1" applyBorder="1" applyAlignment="1">
      <alignment vertical="top"/>
    </xf>
    <xf numFmtId="172" fontId="232" fillId="0" borderId="0" xfId="1545" applyFont="1"/>
    <xf numFmtId="164" fontId="228" fillId="0" borderId="0" xfId="1560" applyNumberFormat="1" applyFont="1" applyFill="1"/>
    <xf numFmtId="9" fontId="225" fillId="0" borderId="0" xfId="1556" applyFont="1" applyFill="1" applyAlignment="1">
      <alignment horizontal="center"/>
    </xf>
    <xf numFmtId="9" fontId="225" fillId="0" borderId="0" xfId="1547" applyNumberFormat="1" applyFont="1" applyFill="1" applyAlignment="1">
      <alignment horizontal="center"/>
    </xf>
    <xf numFmtId="170" fontId="225" fillId="0" borderId="79" xfId="1547" applyNumberFormat="1" applyFont="1" applyBorder="1"/>
    <xf numFmtId="9" fontId="225" fillId="0" borderId="0" xfId="1547" applyNumberFormat="1" applyFont="1" applyFill="1" applyBorder="1" applyAlignment="1">
      <alignment horizontal="center"/>
    </xf>
    <xf numFmtId="10" fontId="225" fillId="0" borderId="0" xfId="1556" applyNumberFormat="1" applyFont="1"/>
    <xf numFmtId="1" fontId="227" fillId="0" borderId="0" xfId="1545" applyNumberFormat="1" applyFont="1" applyAlignment="1">
      <alignment horizontal="left"/>
    </xf>
    <xf numFmtId="10" fontId="225" fillId="0" borderId="0" xfId="1560" applyNumberFormat="1" applyFont="1"/>
    <xf numFmtId="43" fontId="225" fillId="0" borderId="0" xfId="1547" applyFont="1"/>
    <xf numFmtId="10" fontId="232" fillId="0" borderId="0" xfId="1560" applyNumberFormat="1" applyFont="1" applyFill="1" applyAlignment="1">
      <alignment horizontal="center"/>
    </xf>
    <xf numFmtId="172" fontId="232" fillId="0" borderId="0" xfId="1549" applyFont="1"/>
    <xf numFmtId="173" fontId="232" fillId="0" borderId="0" xfId="1554" applyNumberFormat="1" applyFont="1" applyFill="1"/>
    <xf numFmtId="173" fontId="232" fillId="0" borderId="0" xfId="1547" applyNumberFormat="1" applyFont="1"/>
    <xf numFmtId="49" fontId="225" fillId="0" borderId="0" xfId="1547" applyNumberFormat="1" applyFont="1" applyFill="1"/>
    <xf numFmtId="164" fontId="232" fillId="0" borderId="0" xfId="1560" applyNumberFormat="1" applyFont="1" applyFill="1"/>
    <xf numFmtId="170" fontId="232" fillId="0" borderId="0" xfId="1547" applyNumberFormat="1" applyFont="1" applyBorder="1"/>
    <xf numFmtId="9" fontId="232" fillId="0" borderId="0" xfId="1556" applyFont="1" applyFill="1"/>
    <xf numFmtId="9" fontId="232" fillId="0" borderId="0" xfId="1556" applyFont="1" applyFill="1" applyAlignment="1">
      <alignment horizontal="center"/>
    </xf>
    <xf numFmtId="173" fontId="232" fillId="0" borderId="0" xfId="1547" applyNumberFormat="1" applyFont="1" applyFill="1"/>
    <xf numFmtId="170" fontId="232" fillId="0" borderId="79" xfId="1547" applyNumberFormat="1" applyFont="1" applyBorder="1"/>
    <xf numFmtId="173" fontId="232" fillId="0" borderId="79" xfId="1547" applyNumberFormat="1" applyFont="1" applyFill="1" applyBorder="1"/>
    <xf numFmtId="10" fontId="232" fillId="0" borderId="0" xfId="1547" applyNumberFormat="1" applyFont="1" applyFill="1" applyBorder="1" applyAlignment="1">
      <alignment horizontal="center"/>
    </xf>
    <xf numFmtId="170" fontId="225" fillId="0" borderId="0" xfId="1547" applyNumberFormat="1" applyFont="1" applyBorder="1"/>
    <xf numFmtId="10" fontId="225" fillId="0" borderId="0" xfId="1547" applyNumberFormat="1" applyFont="1" applyFill="1" applyBorder="1" applyAlignment="1">
      <alignment horizontal="center"/>
    </xf>
    <xf numFmtId="2" fontId="228" fillId="0" borderId="0" xfId="1545" applyNumberFormat="1" applyFont="1"/>
    <xf numFmtId="0" fontId="2" fillId="0" borderId="0" xfId="1559"/>
    <xf numFmtId="0" fontId="190" fillId="0" borderId="0" xfId="1559" applyFont="1" applyAlignment="1">
      <alignment vertical="center"/>
    </xf>
    <xf numFmtId="170" fontId="228" fillId="0" borderId="0" xfId="1545" applyNumberFormat="1" applyFont="1"/>
    <xf numFmtId="1" fontId="8" fillId="0" borderId="0" xfId="1544" applyNumberFormat="1" applyFont="1" applyBorder="1" applyAlignment="1">
      <alignment vertical="top"/>
    </xf>
    <xf numFmtId="49" fontId="190" fillId="0" borderId="0" xfId="198" applyNumberFormat="1" applyFont="1" applyAlignment="1" applyProtection="1"/>
    <xf numFmtId="0" fontId="24" fillId="0" borderId="0" xfId="1544" applyNumberFormat="1" applyFont="1" applyBorder="1" applyAlignment="1"/>
    <xf numFmtId="172" fontId="24" fillId="0" borderId="0" xfId="1541" applyFont="1" applyAlignment="1">
      <alignment vertical="top"/>
    </xf>
    <xf numFmtId="173" fontId="225" fillId="0" borderId="0" xfId="1561" applyNumberFormat="1" applyFont="1"/>
    <xf numFmtId="173" fontId="228" fillId="0" borderId="0" xfId="1561" applyNumberFormat="1" applyFont="1" applyAlignment="1">
      <alignment horizontal="right"/>
    </xf>
    <xf numFmtId="173" fontId="229" fillId="0" borderId="0" xfId="1561" applyNumberFormat="1" applyFont="1" applyAlignment="1">
      <alignment horizontal="right"/>
    </xf>
    <xf numFmtId="173" fontId="225" fillId="0" borderId="0" xfId="1561" applyNumberFormat="1" applyFont="1" applyAlignment="1">
      <alignment horizontal="right"/>
    </xf>
    <xf numFmtId="173" fontId="227" fillId="0" borderId="11" xfId="1561" applyNumberFormat="1" applyFont="1" applyFill="1" applyBorder="1" applyAlignment="1" applyProtection="1">
      <protection locked="0"/>
    </xf>
    <xf numFmtId="173" fontId="225" fillId="0" borderId="0" xfId="1561" applyNumberFormat="1" applyFont="1" applyAlignment="1">
      <alignment horizontal="center"/>
    </xf>
    <xf numFmtId="173" fontId="225" fillId="0" borderId="0" xfId="1561" applyNumberFormat="1" applyFont="1" applyAlignment="1">
      <alignment wrapText="1"/>
    </xf>
    <xf numFmtId="173" fontId="225" fillId="0" borderId="0" xfId="1561" applyNumberFormat="1" applyFont="1" applyAlignment="1">
      <alignment horizontal="center" wrapText="1"/>
    </xf>
    <xf numFmtId="173" fontId="225" fillId="0" borderId="0" xfId="1561" applyNumberFormat="1" applyFont="1" applyFill="1" applyAlignment="1">
      <alignment horizontal="center" wrapText="1"/>
    </xf>
    <xf numFmtId="173" fontId="225" fillId="0" borderId="0" xfId="1561" applyNumberFormat="1" applyFont="1" applyFill="1"/>
    <xf numFmtId="173" fontId="225" fillId="0" borderId="0" xfId="1561" applyNumberFormat="1" applyFont="1" applyFill="1" applyAlignment="1">
      <alignment wrapText="1"/>
    </xf>
    <xf numFmtId="173" fontId="227" fillId="0" borderId="0" xfId="1561" applyNumberFormat="1" applyFont="1"/>
    <xf numFmtId="0" fontId="225" fillId="0" borderId="0" xfId="1562" applyFont="1"/>
    <xf numFmtId="170" fontId="225" fillId="0" borderId="0" xfId="1562" applyNumberFormat="1" applyFont="1"/>
    <xf numFmtId="10" fontId="225" fillId="0" borderId="0" xfId="1562" applyNumberFormat="1" applyFont="1"/>
    <xf numFmtId="170" fontId="225" fillId="0" borderId="11" xfId="1562" applyNumberFormat="1" applyFont="1" applyBorder="1"/>
    <xf numFmtId="10" fontId="225" fillId="0" borderId="0" xfId="1562" applyNumberFormat="1" applyFont="1" applyAlignment="1">
      <alignment horizontal="center"/>
    </xf>
    <xf numFmtId="10" fontId="225" fillId="0" borderId="0" xfId="1556" applyNumberFormat="1" applyFont="1" applyFill="1" applyAlignment="1">
      <alignment horizontal="center"/>
    </xf>
    <xf numFmtId="10" fontId="225" fillId="0" borderId="0" xfId="1547" applyNumberFormat="1" applyFont="1" applyFill="1" applyAlignment="1">
      <alignment horizontal="center"/>
    </xf>
    <xf numFmtId="173" fontId="225" fillId="0" borderId="79" xfId="1547" applyNumberFormat="1" applyFont="1" applyBorder="1"/>
    <xf numFmtId="0" fontId="1" fillId="0" borderId="0" xfId="1562"/>
    <xf numFmtId="0" fontId="226" fillId="0" borderId="0" xfId="1562" applyFont="1"/>
    <xf numFmtId="173" fontId="225" fillId="0" borderId="0" xfId="1561" applyNumberFormat="1" applyFont="1" applyFill="1" applyAlignment="1">
      <alignment horizontal="center"/>
    </xf>
    <xf numFmtId="173" fontId="227" fillId="0" borderId="0" xfId="1561" applyNumberFormat="1" applyFont="1" applyAlignment="1">
      <alignment horizontal="left"/>
    </xf>
    <xf numFmtId="173" fontId="225" fillId="0" borderId="0" xfId="1547" applyNumberFormat="1" applyFont="1" applyBorder="1"/>
    <xf numFmtId="173" fontId="225" fillId="0" borderId="0" xfId="1561" applyNumberFormat="1" applyFont="1" applyBorder="1"/>
    <xf numFmtId="173" fontId="225" fillId="0" borderId="0" xfId="1561" applyNumberFormat="1" applyFont="1" applyFill="1" applyBorder="1"/>
    <xf numFmtId="173" fontId="225" fillId="0" borderId="0" xfId="1561" applyNumberFormat="1" applyFont="1" applyFill="1" applyBorder="1" applyAlignment="1">
      <alignment horizontal="center"/>
    </xf>
    <xf numFmtId="173" fontId="225" fillId="0" borderId="0" xfId="1561" applyNumberFormat="1" applyFont="1" applyAlignment="1"/>
    <xf numFmtId="49" fontId="225" fillId="0" borderId="0" xfId="1561" applyNumberFormat="1" applyFont="1"/>
    <xf numFmtId="49" fontId="225" fillId="0" borderId="0" xfId="1561" applyNumberFormat="1" applyFont="1" applyFill="1"/>
    <xf numFmtId="173" fontId="228" fillId="0" borderId="0" xfId="1561" applyNumberFormat="1" applyFont="1"/>
    <xf numFmtId="173" fontId="226" fillId="0" borderId="0" xfId="1561" applyNumberFormat="1" applyFont="1"/>
    <xf numFmtId="173" fontId="0" fillId="0" borderId="0" xfId="1561" applyNumberFormat="1" applyFont="1"/>
    <xf numFmtId="173" fontId="190" fillId="0" borderId="0" xfId="1561" applyNumberFormat="1" applyFont="1" applyAlignment="1">
      <alignment vertical="center"/>
    </xf>
    <xf numFmtId="0" fontId="11" fillId="0" borderId="0" xfId="1208" applyFont="1"/>
    <xf numFmtId="0" fontId="24" fillId="0" borderId="0" xfId="1563" applyFont="1"/>
    <xf numFmtId="43" fontId="8" fillId="0" borderId="0" xfId="198" applyFont="1" applyProtection="1"/>
    <xf numFmtId="1" fontId="23" fillId="27" borderId="0" xfId="1183" applyNumberFormat="1" applyFont="1" applyFill="1" applyBorder="1" applyAlignment="1" applyProtection="1">
      <alignment horizontal="left"/>
    </xf>
    <xf numFmtId="43" fontId="0" fillId="0" borderId="0" xfId="198" applyFont="1" applyProtection="1"/>
    <xf numFmtId="43" fontId="0" fillId="0" borderId="0" xfId="0" applyNumberFormat="1"/>
    <xf numFmtId="43" fontId="13" fillId="0" borderId="11" xfId="198" applyFont="1" applyFill="1" applyBorder="1" applyAlignment="1" applyProtection="1">
      <alignment horizontal="left"/>
    </xf>
    <xf numFmtId="173" fontId="8" fillId="0" borderId="0" xfId="198" applyNumberFormat="1" applyFont="1" applyFill="1" applyAlignment="1" applyProtection="1">
      <alignment vertical="center"/>
    </xf>
    <xf numFmtId="173" fontId="8" fillId="0" borderId="0" xfId="220" applyNumberFormat="1" applyFont="1" applyFill="1" applyAlignment="1" applyProtection="1">
      <alignment vertical="center"/>
    </xf>
    <xf numFmtId="173" fontId="8" fillId="0" borderId="0" xfId="198" applyNumberFormat="1" applyFont="1" applyFill="1" applyBorder="1" applyAlignment="1" applyProtection="1">
      <alignment vertical="center"/>
    </xf>
    <xf numFmtId="173" fontId="13" fillId="0" borderId="20" xfId="198" applyNumberFormat="1" applyFont="1" applyBorder="1" applyAlignment="1" applyProtection="1">
      <alignment horizontal="center" vertical="center"/>
    </xf>
    <xf numFmtId="173" fontId="13" fillId="0" borderId="20" xfId="198" applyNumberFormat="1" applyFont="1" applyBorder="1" applyAlignment="1" applyProtection="1">
      <alignment vertical="center"/>
    </xf>
    <xf numFmtId="1" fontId="25" fillId="0" borderId="0" xfId="1208" quotePrefix="1" applyNumberFormat="1" applyFont="1" applyAlignment="1">
      <alignment horizontal="center"/>
    </xf>
    <xf numFmtId="173" fontId="24" fillId="0" borderId="81" xfId="1543" applyNumberFormat="1" applyFont="1" applyFill="1" applyBorder="1"/>
    <xf numFmtId="41" fontId="24" fillId="0" borderId="82" xfId="1528" applyNumberFormat="1" applyFont="1" applyBorder="1"/>
    <xf numFmtId="43" fontId="16" fillId="0" borderId="0" xfId="198" applyFont="1" applyFill="1"/>
    <xf numFmtId="0" fontId="196" fillId="0" borderId="0" xfId="0" applyFont="1" applyAlignment="1">
      <alignment horizontal="left"/>
    </xf>
    <xf numFmtId="0" fontId="196" fillId="0" borderId="0" xfId="0" applyFont="1" applyAlignment="1" applyProtection="1">
      <alignment horizontal="left"/>
      <protection locked="0"/>
    </xf>
    <xf numFmtId="0" fontId="11" fillId="60" borderId="0" xfId="198" applyNumberFormat="1" applyFont="1" applyFill="1" applyAlignment="1" applyProtection="1">
      <alignment horizontal="right"/>
    </xf>
    <xf numFmtId="0" fontId="11" fillId="60" borderId="0" xfId="198" applyNumberFormat="1" applyFont="1" applyFill="1" applyAlignment="1" applyProtection="1"/>
    <xf numFmtId="176" fontId="0" fillId="0" borderId="0" xfId="0" applyNumberFormat="1" applyAlignment="1">
      <alignment vertical="center"/>
    </xf>
    <xf numFmtId="39" fontId="0" fillId="0" borderId="0" xfId="0" applyNumberFormat="1"/>
    <xf numFmtId="174" fontId="0" fillId="0" borderId="0" xfId="1536" applyNumberFormat="1" applyFont="1" applyFill="1" applyProtection="1"/>
    <xf numFmtId="174" fontId="0" fillId="0" borderId="0" xfId="1536" applyNumberFormat="1" applyFont="1" applyFill="1" applyProtection="1">
      <protection locked="0"/>
    </xf>
    <xf numFmtId="204" fontId="12" fillId="0" borderId="0" xfId="881" applyNumberFormat="1" applyFont="1" applyProtection="1"/>
    <xf numFmtId="37" fontId="11" fillId="27" borderId="0" xfId="879" applyNumberFormat="1" applyFont="1" applyFill="1"/>
    <xf numFmtId="37" fontId="11" fillId="0" borderId="0" xfId="198" applyNumberFormat="1" applyFont="1" applyFill="1" applyAlignment="1" applyProtection="1"/>
    <xf numFmtId="37" fontId="11" fillId="0" borderId="0" xfId="881" applyNumberFormat="1" applyFont="1" applyProtection="1"/>
    <xf numFmtId="37" fontId="11" fillId="0" borderId="6" xfId="881" applyNumberFormat="1" applyFont="1" applyBorder="1" applyProtection="1"/>
    <xf numFmtId="37" fontId="16" fillId="0" borderId="66" xfId="276" applyNumberFormat="1" applyFont="1" applyBorder="1" applyProtection="1"/>
    <xf numFmtId="37" fontId="88" fillId="27" borderId="50" xfId="0" applyNumberFormat="1" applyFont="1" applyFill="1" applyBorder="1"/>
    <xf numFmtId="173" fontId="88" fillId="27" borderId="81" xfId="0" applyNumberFormat="1" applyFont="1" applyFill="1" applyBorder="1"/>
    <xf numFmtId="173" fontId="88" fillId="27" borderId="49" xfId="0" applyNumberFormat="1" applyFont="1" applyFill="1" applyBorder="1"/>
    <xf numFmtId="37" fontId="16" fillId="0" borderId="0" xfId="198" applyNumberFormat="1" applyFont="1" applyFill="1" applyBorder="1" applyAlignment="1" applyProtection="1"/>
    <xf numFmtId="37" fontId="23" fillId="27" borderId="0" xfId="311" applyNumberFormat="1" applyFont="1" applyFill="1" applyBorder="1"/>
    <xf numFmtId="37" fontId="24" fillId="0" borderId="0" xfId="1208" applyNumberFormat="1" applyFont="1"/>
    <xf numFmtId="37" fontId="24" fillId="0" borderId="15" xfId="1208" applyNumberFormat="1" applyFont="1" applyBorder="1"/>
    <xf numFmtId="37" fontId="25" fillId="0" borderId="0" xfId="1208" applyNumberFormat="1" applyFont="1"/>
    <xf numFmtId="37" fontId="8" fillId="0" borderId="0" xfId="1208" applyNumberFormat="1"/>
    <xf numFmtId="37" fontId="13" fillId="0" borderId="0" xfId="1208" applyNumberFormat="1" applyFont="1"/>
    <xf numFmtId="39" fontId="24" fillId="0" borderId="0" xfId="1538" applyNumberFormat="1" applyFont="1" applyFill="1" applyProtection="1"/>
    <xf numFmtId="39" fontId="24" fillId="0" borderId="0" xfId="1538" applyNumberFormat="1" applyFont="1" applyFill="1" applyBorder="1" applyProtection="1"/>
    <xf numFmtId="39" fontId="24" fillId="0" borderId="0" xfId="1208" applyNumberFormat="1" applyFont="1"/>
    <xf numFmtId="37" fontId="11" fillId="0" borderId="0" xfId="881" applyNumberFormat="1" applyFont="1" applyAlignment="1" applyProtection="1">
      <alignment vertical="center"/>
    </xf>
    <xf numFmtId="37" fontId="88" fillId="27" borderId="0" xfId="198" applyNumberFormat="1" applyFont="1" applyFill="1" applyBorder="1"/>
    <xf numFmtId="37" fontId="8" fillId="0" borderId="66" xfId="1175" applyNumberFormat="1" applyFont="1" applyBorder="1"/>
    <xf numFmtId="37" fontId="8" fillId="0" borderId="0" xfId="1175" applyNumberFormat="1" applyFont="1" applyFill="1" applyProtection="1"/>
    <xf numFmtId="37" fontId="88" fillId="0" borderId="0" xfId="1175" applyNumberFormat="1" applyFont="1" applyFill="1" applyProtection="1">
      <protection locked="0"/>
    </xf>
    <xf numFmtId="37" fontId="88" fillId="27" borderId="0" xfId="1184" applyNumberFormat="1" applyFont="1" applyFill="1" applyBorder="1"/>
    <xf numFmtId="37" fontId="19" fillId="0" borderId="0" xfId="1177" applyNumberFormat="1" applyFont="1"/>
    <xf numFmtId="37" fontId="8" fillId="0" borderId="11" xfId="1172" applyNumberFormat="1" applyBorder="1"/>
    <xf numFmtId="37" fontId="19" fillId="0" borderId="11" xfId="1177" applyNumberFormat="1" applyFont="1" applyBorder="1"/>
    <xf numFmtId="37" fontId="8" fillId="0" borderId="0" xfId="1180" applyNumberFormat="1" applyFont="1" applyFill="1" applyBorder="1" applyProtection="1"/>
    <xf numFmtId="37" fontId="13" fillId="0" borderId="13" xfId="1175" applyNumberFormat="1" applyFont="1" applyFill="1" applyBorder="1" applyProtection="1"/>
    <xf numFmtId="37" fontId="73" fillId="0" borderId="0" xfId="1177" applyNumberFormat="1" applyFont="1"/>
    <xf numFmtId="37" fontId="8" fillId="0" borderId="0" xfId="198" applyNumberFormat="1" applyFont="1" applyFill="1"/>
    <xf numFmtId="37" fontId="8" fillId="27" borderId="0" xfId="198" applyNumberFormat="1" applyFont="1" applyFill="1" applyBorder="1" applyAlignment="1">
      <alignment horizontal="center"/>
    </xf>
    <xf numFmtId="37" fontId="8" fillId="27" borderId="0" xfId="198" applyNumberFormat="1" applyFont="1" applyFill="1" applyBorder="1"/>
    <xf numFmtId="37" fontId="8" fillId="0" borderId="0" xfId="198" applyNumberFormat="1" applyFont="1" applyFill="1" applyBorder="1"/>
    <xf numFmtId="37" fontId="8" fillId="27" borderId="0" xfId="202" applyNumberFormat="1" applyFont="1" applyFill="1" applyBorder="1" applyAlignment="1">
      <alignment horizontal="center"/>
    </xf>
    <xf numFmtId="37" fontId="8" fillId="27" borderId="0" xfId="202" applyNumberFormat="1" applyFont="1" applyFill="1" applyBorder="1"/>
    <xf numFmtId="37" fontId="8" fillId="0" borderId="2" xfId="198" applyNumberFormat="1" applyFont="1" applyFill="1" applyBorder="1"/>
    <xf numFmtId="37" fontId="8" fillId="0" borderId="2" xfId="791" applyNumberFormat="1" applyFont="1" applyBorder="1"/>
    <xf numFmtId="37" fontId="11" fillId="0" borderId="0" xfId="1176" applyNumberFormat="1" applyFont="1"/>
    <xf numFmtId="37" fontId="11" fillId="27" borderId="0" xfId="1176" applyNumberFormat="1" applyFont="1" applyFill="1"/>
    <xf numFmtId="37" fontId="8" fillId="0" borderId="15" xfId="1201" applyNumberFormat="1" applyFont="1" applyBorder="1" applyProtection="1"/>
    <xf numFmtId="173" fontId="8" fillId="0" borderId="29" xfId="1201" applyNumberFormat="1" applyFont="1" applyBorder="1" applyProtection="1"/>
    <xf numFmtId="3" fontId="88" fillId="27" borderId="0" xfId="0" quotePrefix="1" applyNumberFormat="1" applyFont="1" applyFill="1" applyAlignment="1">
      <alignment horizontal="left"/>
    </xf>
    <xf numFmtId="37" fontId="11" fillId="27" borderId="0" xfId="198" applyNumberFormat="1" applyFont="1" applyFill="1" applyBorder="1" applyProtection="1"/>
    <xf numFmtId="37" fontId="11" fillId="0" borderId="0" xfId="883" applyNumberFormat="1" applyFont="1"/>
    <xf numFmtId="37" fontId="11" fillId="0" borderId="0" xfId="535" applyNumberFormat="1" applyFont="1" applyFill="1" applyProtection="1"/>
    <xf numFmtId="37" fontId="23" fillId="27" borderId="0" xfId="1183" applyNumberFormat="1" applyFont="1" applyFill="1" applyBorder="1" applyProtection="1"/>
    <xf numFmtId="37" fontId="88" fillId="27" borderId="0" xfId="198" applyNumberFormat="1" applyFont="1" applyFill="1" applyBorder="1" applyProtection="1"/>
    <xf numFmtId="37" fontId="8" fillId="0" borderId="66" xfId="1175" applyNumberFormat="1" applyFont="1" applyBorder="1" applyProtection="1"/>
    <xf numFmtId="3" fontId="23" fillId="60" borderId="0" xfId="0" applyNumberFormat="1" applyFont="1" applyFill="1"/>
    <xf numFmtId="37" fontId="8" fillId="27" borderId="0" xfId="1533" applyNumberFormat="1" applyFont="1" applyFill="1" applyBorder="1" applyProtection="1"/>
    <xf numFmtId="37" fontId="8" fillId="0" borderId="2" xfId="1533" applyNumberFormat="1" applyFont="1" applyFill="1" applyBorder="1" applyProtection="1"/>
    <xf numFmtId="37" fontId="8" fillId="0" borderId="0" xfId="1533" applyNumberFormat="1" applyFont="1" applyFill="1" applyBorder="1" applyProtection="1"/>
    <xf numFmtId="37" fontId="8" fillId="27" borderId="0" xfId="198" applyNumberFormat="1" applyFont="1" applyFill="1" applyBorder="1" applyAlignment="1" applyProtection="1">
      <alignment horizontal="center"/>
    </xf>
    <xf numFmtId="37" fontId="8" fillId="27" borderId="0" xfId="198" applyNumberFormat="1" applyFont="1" applyFill="1" applyBorder="1" applyProtection="1"/>
    <xf numFmtId="37" fontId="8" fillId="0" borderId="0" xfId="198" applyNumberFormat="1" applyFont="1" applyFill="1" applyBorder="1" applyProtection="1"/>
    <xf numFmtId="37" fontId="8" fillId="27" borderId="0" xfId="1533" applyNumberFormat="1" applyFont="1" applyFill="1" applyBorder="1" applyAlignment="1" applyProtection="1">
      <alignment horizontal="center"/>
    </xf>
    <xf numFmtId="37" fontId="8" fillId="0" borderId="2" xfId="198" applyNumberFormat="1" applyFont="1" applyFill="1" applyBorder="1" applyProtection="1"/>
    <xf numFmtId="37" fontId="8" fillId="0" borderId="2" xfId="1409" applyNumberFormat="1" applyBorder="1"/>
    <xf numFmtId="37" fontId="11" fillId="0" borderId="0" xfId="198" applyNumberFormat="1" applyFont="1" applyFill="1" applyBorder="1" applyProtection="1"/>
    <xf numFmtId="37" fontId="225" fillId="0" borderId="0" xfId="1558" applyNumberFormat="1" applyFont="1" applyFill="1"/>
    <xf numFmtId="37" fontId="225" fillId="0" borderId="0" xfId="1558" applyNumberFormat="1" applyFont="1" applyFill="1" applyAlignment="1">
      <alignment wrapText="1"/>
    </xf>
    <xf numFmtId="37" fontId="225" fillId="0" borderId="79" xfId="1558" applyNumberFormat="1" applyFont="1" applyBorder="1"/>
    <xf numFmtId="37" fontId="225" fillId="0" borderId="0" xfId="1556" applyNumberFormat="1" applyFont="1" applyFill="1"/>
    <xf numFmtId="37" fontId="225" fillId="0" borderId="0" xfId="1547" applyNumberFormat="1" applyFont="1" applyFill="1"/>
    <xf numFmtId="37" fontId="225" fillId="0" borderId="79" xfId="1547" applyNumberFormat="1" applyFont="1" applyFill="1" applyBorder="1"/>
    <xf numFmtId="37" fontId="24" fillId="0" borderId="85" xfId="1544" applyNumberFormat="1" applyFont="1" applyBorder="1" applyAlignment="1">
      <alignment horizontal="left" indent="1"/>
    </xf>
    <xf numFmtId="37" fontId="24" fillId="70" borderId="80" xfId="1176" applyNumberFormat="1" applyFont="1" applyFill="1" applyBorder="1" applyProtection="1">
      <protection locked="0"/>
    </xf>
    <xf numFmtId="37" fontId="24" fillId="70" borderId="82" xfId="1176" applyNumberFormat="1" applyFont="1" applyFill="1" applyBorder="1" applyProtection="1">
      <protection locked="0"/>
    </xf>
    <xf numFmtId="37" fontId="24" fillId="70" borderId="68" xfId="1176" applyNumberFormat="1" applyFont="1" applyFill="1" applyBorder="1" applyProtection="1">
      <protection locked="0"/>
    </xf>
    <xf numFmtId="37" fontId="217" fillId="0" borderId="0" xfId="1541" applyNumberFormat="1"/>
    <xf numFmtId="37" fontId="24" fillId="0" borderId="0" xfId="1528" applyNumberFormat="1" applyFont="1"/>
    <xf numFmtId="37" fontId="24" fillId="71" borderId="0" xfId="1543" applyNumberFormat="1" applyFont="1" applyFill="1" applyBorder="1"/>
    <xf numFmtId="37" fontId="24" fillId="0" borderId="0" xfId="1541" applyNumberFormat="1" applyFont="1"/>
    <xf numFmtId="37" fontId="24" fillId="0" borderId="1" xfId="1544" applyNumberFormat="1" applyFont="1" applyBorder="1" applyAlignment="1">
      <alignment horizontal="center"/>
    </xf>
    <xf numFmtId="37" fontId="24" fillId="0" borderId="0" xfId="1544" applyNumberFormat="1" applyFont="1" applyBorder="1" applyAlignment="1">
      <alignment horizontal="center"/>
    </xf>
    <xf numFmtId="37" fontId="25" fillId="0" borderId="0" xfId="1539" applyNumberFormat="1" applyFont="1" applyAlignment="1">
      <alignment horizontal="center" wrapText="1"/>
    </xf>
    <xf numFmtId="37" fontId="24" fillId="69" borderId="0" xfId="1539" applyNumberFormat="1" applyFont="1" applyFill="1"/>
    <xf numFmtId="37" fontId="190" fillId="27" borderId="0" xfId="198" applyNumberFormat="1" applyFont="1" applyFill="1" applyBorder="1" applyAlignment="1" applyProtection="1">
      <alignment horizontal="center"/>
    </xf>
    <xf numFmtId="37" fontId="190" fillId="0" borderId="0" xfId="198" applyNumberFormat="1" applyFont="1" applyAlignment="1" applyProtection="1"/>
    <xf numFmtId="37" fontId="190" fillId="27" borderId="0" xfId="198" applyNumberFormat="1" applyFont="1" applyFill="1" applyBorder="1" applyAlignment="1" applyProtection="1"/>
    <xf numFmtId="37" fontId="190" fillId="0" borderId="2" xfId="198" applyNumberFormat="1" applyFont="1" applyBorder="1" applyAlignment="1" applyProtection="1">
      <alignment horizontal="center"/>
    </xf>
    <xf numFmtId="37" fontId="190" fillId="0" borderId="2" xfId="198" applyNumberFormat="1" applyFont="1" applyBorder="1" applyProtection="1"/>
    <xf numFmtId="37" fontId="16" fillId="0" borderId="11" xfId="0" applyNumberFormat="1" applyFont="1" applyBorder="1"/>
    <xf numFmtId="37" fontId="190" fillId="0" borderId="0" xfId="198" applyNumberFormat="1" applyFont="1" applyProtection="1"/>
    <xf numFmtId="37" fontId="190" fillId="60" borderId="0" xfId="198" applyNumberFormat="1" applyFont="1" applyFill="1" applyProtection="1"/>
    <xf numFmtId="37" fontId="190" fillId="0" borderId="0" xfId="198" applyNumberFormat="1" applyFont="1" applyFill="1" applyBorder="1" applyAlignment="1" applyProtection="1">
      <alignment horizontal="center"/>
    </xf>
    <xf numFmtId="37" fontId="190" fillId="60" borderId="0" xfId="198" applyNumberFormat="1" applyFont="1" applyFill="1" applyBorder="1" applyAlignment="1" applyProtection="1">
      <alignment horizontal="center"/>
    </xf>
    <xf numFmtId="37" fontId="190" fillId="0" borderId="0" xfId="198" applyNumberFormat="1" applyFont="1" applyBorder="1" applyProtection="1"/>
    <xf numFmtId="37" fontId="190" fillId="0" borderId="0" xfId="198" applyNumberFormat="1" applyFont="1" applyFill="1" applyBorder="1" applyAlignment="1" applyProtection="1"/>
    <xf numFmtId="37" fontId="190" fillId="0" borderId="2" xfId="198" applyNumberFormat="1" applyFont="1" applyBorder="1" applyAlignment="1" applyProtection="1"/>
    <xf numFmtId="37" fontId="90" fillId="27" borderId="0" xfId="1183" applyNumberFormat="1" applyFont="1" applyFill="1" applyBorder="1" applyProtection="1"/>
    <xf numFmtId="0" fontId="23" fillId="27" borderId="0" xfId="1183" applyNumberFormat="1" applyFont="1" applyFill="1" applyBorder="1" applyAlignment="1" applyProtection="1">
      <alignment horizontal="left"/>
    </xf>
    <xf numFmtId="173" fontId="88" fillId="0" borderId="38" xfId="493" applyNumberFormat="1" applyFont="1" applyBorder="1" applyProtection="1"/>
    <xf numFmtId="173" fontId="88" fillId="0" borderId="28" xfId="493" applyNumberFormat="1" applyFont="1" applyBorder="1" applyProtection="1"/>
    <xf numFmtId="173" fontId="88" fillId="0" borderId="39" xfId="493" applyNumberFormat="1" applyFont="1" applyBorder="1" applyProtection="1"/>
    <xf numFmtId="173" fontId="13" fillId="0" borderId="54" xfId="198" applyNumberFormat="1" applyFont="1" applyBorder="1" applyAlignment="1" applyProtection="1">
      <alignment horizontal="center" wrapText="1"/>
    </xf>
    <xf numFmtId="0" fontId="0" fillId="0" borderId="19" xfId="0" applyBorder="1" applyAlignment="1">
      <alignment horizontal="center"/>
    </xf>
    <xf numFmtId="0" fontId="21" fillId="0" borderId="54" xfId="0" applyFont="1" applyBorder="1" applyAlignment="1">
      <alignment horizontal="center" wrapText="1"/>
    </xf>
    <xf numFmtId="173" fontId="190" fillId="0" borderId="0" xfId="198" applyNumberFormat="1" applyFont="1" applyFill="1" applyProtection="1"/>
    <xf numFmtId="37" fontId="25" fillId="0" borderId="15" xfId="1201" applyNumberFormat="1" applyFont="1" applyFill="1" applyBorder="1" applyProtection="1"/>
    <xf numFmtId="37" fontId="25" fillId="0" borderId="2" xfId="1208" applyNumberFormat="1" applyFont="1" applyBorder="1" applyAlignment="1">
      <alignment horizontal="right"/>
    </xf>
    <xf numFmtId="199" fontId="11" fillId="0" borderId="0" xfId="198" applyNumberFormat="1" applyFont="1" applyFill="1" applyBorder="1" applyAlignment="1" applyProtection="1">
      <protection locked="0"/>
    </xf>
    <xf numFmtId="199" fontId="11" fillId="0" borderId="0" xfId="0" applyNumberFormat="1" applyFont="1"/>
    <xf numFmtId="199" fontId="11" fillId="0" borderId="0" xfId="881" applyNumberFormat="1" applyFont="1" applyProtection="1">
      <protection locked="0"/>
    </xf>
    <xf numFmtId="199" fontId="11" fillId="0" borderId="0" xfId="198" applyNumberFormat="1" applyFont="1" applyFill="1" applyAlignment="1"/>
    <xf numFmtId="199" fontId="11" fillId="0" borderId="14" xfId="198" applyNumberFormat="1" applyFont="1" applyFill="1" applyBorder="1" applyAlignment="1"/>
    <xf numFmtId="173" fontId="88" fillId="27" borderId="0" xfId="198" applyNumberFormat="1" applyFont="1" applyFill="1" applyProtection="1"/>
    <xf numFmtId="173" fontId="13" fillId="0" borderId="14" xfId="198" applyNumberFormat="1" applyFont="1" applyFill="1" applyBorder="1" applyProtection="1"/>
    <xf numFmtId="173" fontId="88" fillId="0" borderId="0" xfId="198" applyNumberFormat="1" applyFont="1" applyFill="1" applyProtection="1"/>
    <xf numFmtId="173" fontId="88" fillId="0" borderId="0" xfId="198" applyNumberFormat="1" applyFont="1" applyFill="1" applyBorder="1" applyProtection="1"/>
    <xf numFmtId="0" fontId="13" fillId="0" borderId="11" xfId="0" applyFont="1" applyBorder="1" applyAlignment="1">
      <alignment horizontal="left"/>
    </xf>
    <xf numFmtId="0" fontId="88" fillId="27" borderId="0" xfId="198" applyNumberFormat="1" applyFont="1" applyFill="1" applyBorder="1" applyAlignment="1" applyProtection="1">
      <alignment horizontal="left"/>
    </xf>
    <xf numFmtId="0" fontId="88" fillId="27" borderId="0" xfId="275" applyNumberFormat="1" applyFont="1" applyFill="1" applyBorder="1" applyAlignment="1" applyProtection="1">
      <alignment horizontal="left"/>
    </xf>
    <xf numFmtId="37" fontId="0" fillId="60" borderId="0" xfId="0" applyNumberFormat="1" applyFill="1"/>
    <xf numFmtId="0" fontId="88" fillId="27" borderId="0" xfId="1201" applyNumberFormat="1" applyFont="1" applyFill="1" applyBorder="1" applyProtection="1"/>
    <xf numFmtId="37" fontId="8" fillId="60" borderId="0" xfId="0" applyNumberFormat="1" applyFont="1" applyFill="1"/>
    <xf numFmtId="37" fontId="16" fillId="60" borderId="0" xfId="0" applyNumberFormat="1" applyFont="1" applyFill="1"/>
    <xf numFmtId="173" fontId="23" fillId="27" borderId="0" xfId="1183" applyNumberFormat="1" applyFont="1" applyFill="1" applyBorder="1" applyAlignment="1" applyProtection="1">
      <alignment vertical="top" wrapText="1"/>
    </xf>
    <xf numFmtId="173" fontId="16" fillId="0" borderId="0" xfId="198" applyNumberFormat="1" applyFont="1" applyFill="1"/>
    <xf numFmtId="173" fontId="0" fillId="0" borderId="0" xfId="198" applyNumberFormat="1" applyFont="1" applyFill="1"/>
    <xf numFmtId="0" fontId="11" fillId="0" borderId="0" xfId="882" applyFont="1"/>
    <xf numFmtId="173" fontId="11" fillId="0" borderId="0" xfId="882" applyNumberFormat="1" applyFont="1"/>
    <xf numFmtId="173" fontId="0" fillId="0" borderId="0" xfId="198" applyNumberFormat="1" applyFont="1" applyFill="1" applyBorder="1"/>
    <xf numFmtId="173" fontId="16" fillId="0" borderId="0" xfId="198" applyNumberFormat="1" applyFont="1" applyFill="1" applyBorder="1"/>
    <xf numFmtId="43" fontId="11" fillId="0" borderId="0" xfId="198" applyFont="1" applyFill="1" applyBorder="1"/>
    <xf numFmtId="173" fontId="11" fillId="0" borderId="0" xfId="198" applyNumberFormat="1" applyFont="1" applyFill="1" applyBorder="1"/>
    <xf numFmtId="0" fontId="11" fillId="0" borderId="0" xfId="0" applyFont="1" applyAlignment="1">
      <alignment horizontal="right"/>
    </xf>
    <xf numFmtId="173" fontId="11" fillId="0" borderId="0" xfId="0" applyNumberFormat="1" applyFont="1"/>
    <xf numFmtId="0" fontId="11" fillId="0" borderId="0" xfId="882" applyFont="1" applyAlignment="1">
      <alignment horizontal="right"/>
    </xf>
    <xf numFmtId="43" fontId="11" fillId="0" borderId="0" xfId="882" applyNumberFormat="1" applyFont="1"/>
    <xf numFmtId="43" fontId="22" fillId="0" borderId="0" xfId="198" applyFont="1" applyFill="1" applyProtection="1"/>
    <xf numFmtId="43" fontId="22" fillId="0" borderId="0" xfId="882" applyNumberFormat="1" applyFont="1"/>
    <xf numFmtId="37" fontId="11" fillId="0" borderId="0" xfId="879" applyNumberFormat="1" applyFont="1"/>
    <xf numFmtId="3" fontId="156" fillId="0" borderId="0" xfId="852" applyFont="1"/>
    <xf numFmtId="199" fontId="64" fillId="0" borderId="0" xfId="882" applyNumberFormat="1" applyFont="1"/>
    <xf numFmtId="37" fontId="8" fillId="0" borderId="2" xfId="202" applyNumberFormat="1" applyFont="1" applyFill="1" applyBorder="1"/>
    <xf numFmtId="37" fontId="8" fillId="0" borderId="0" xfId="202" applyNumberFormat="1" applyFont="1" applyFill="1" applyBorder="1"/>
    <xf numFmtId="199" fontId="90" fillId="27" borderId="0" xfId="1183" applyNumberFormat="1" applyFont="1" applyFill="1" applyBorder="1" applyProtection="1"/>
    <xf numFmtId="37" fontId="0" fillId="0" borderId="0" xfId="198" applyNumberFormat="1" applyFont="1" applyProtection="1"/>
    <xf numFmtId="37" fontId="0" fillId="0" borderId="0" xfId="198" applyNumberFormat="1" applyFont="1" applyAlignment="1" applyProtection="1"/>
    <xf numFmtId="37" fontId="0" fillId="0" borderId="28" xfId="198" applyNumberFormat="1" applyFont="1" applyBorder="1" applyProtection="1"/>
    <xf numFmtId="37" fontId="88" fillId="27" borderId="51" xfId="0" applyNumberFormat="1" applyFont="1" applyFill="1" applyBorder="1"/>
    <xf numFmtId="37" fontId="90" fillId="27" borderId="0" xfId="311" applyNumberFormat="1" applyFont="1" applyFill="1" applyBorder="1"/>
    <xf numFmtId="37" fontId="64" fillId="0" borderId="0" xfId="882" applyNumberFormat="1" applyFont="1"/>
    <xf numFmtId="0" fontId="8" fillId="0" borderId="0" xfId="198" quotePrefix="1" applyNumberFormat="1" applyFont="1" applyFill="1" applyBorder="1" applyAlignment="1" applyProtection="1">
      <alignment horizontal="center"/>
    </xf>
    <xf numFmtId="0" fontId="84" fillId="0" borderId="0" xfId="878" applyFont="1"/>
    <xf numFmtId="43" fontId="84" fillId="0" borderId="0" xfId="198" applyFont="1" applyFill="1" applyProtection="1"/>
    <xf numFmtId="43" fontId="84" fillId="0" borderId="0" xfId="878" applyNumberFormat="1" applyFont="1"/>
    <xf numFmtId="43" fontId="11" fillId="0" borderId="0" xfId="275" applyFont="1" applyFill="1" applyAlignment="1" applyProtection="1">
      <protection locked="0"/>
    </xf>
    <xf numFmtId="43" fontId="16" fillId="0" borderId="0" xfId="198" applyFont="1"/>
    <xf numFmtId="172" fontId="11" fillId="0" borderId="0" xfId="881" applyFont="1" applyAlignment="1" applyProtection="1">
      <alignment horizontal="right"/>
      <protection locked="0"/>
    </xf>
    <xf numFmtId="173" fontId="58" fillId="0" borderId="0" xfId="198" applyNumberFormat="1" applyFont="1" applyFill="1" applyAlignment="1" applyProtection="1">
      <alignment horizontal="center" vertical="center"/>
    </xf>
    <xf numFmtId="173" fontId="58" fillId="0" borderId="0" xfId="198" applyNumberFormat="1" applyFont="1" applyFill="1" applyAlignment="1" applyProtection="1">
      <alignment vertical="center"/>
    </xf>
    <xf numFmtId="173" fontId="58" fillId="0" borderId="0" xfId="198" applyNumberFormat="1" applyFont="1" applyAlignment="1" applyProtection="1">
      <alignment vertical="center"/>
    </xf>
    <xf numFmtId="173" fontId="58" fillId="0" borderId="0" xfId="198" applyNumberFormat="1" applyFont="1" applyProtection="1"/>
    <xf numFmtId="37" fontId="58" fillId="0" borderId="0" xfId="0" applyNumberFormat="1" applyFont="1"/>
    <xf numFmtId="174" fontId="13" fillId="0" borderId="27" xfId="1368" applyNumberFormat="1" applyFont="1" applyBorder="1" applyAlignment="1" applyProtection="1">
      <alignment vertical="center"/>
    </xf>
    <xf numFmtId="173" fontId="58" fillId="0" borderId="0" xfId="1537" applyNumberFormat="1" applyFont="1"/>
    <xf numFmtId="0" fontId="16" fillId="0" borderId="0" xfId="775" applyAlignment="1">
      <alignment horizontal="center"/>
    </xf>
    <xf numFmtId="0" fontId="11" fillId="0" borderId="0" xfId="881" applyNumberFormat="1" applyFont="1" applyAlignment="1">
      <alignment horizontal="center"/>
    </xf>
    <xf numFmtId="0" fontId="13" fillId="0" borderId="40" xfId="0" applyFont="1" applyBorder="1" applyAlignment="1">
      <alignment horizontal="center"/>
    </xf>
    <xf numFmtId="0" fontId="24" fillId="67" borderId="0" xfId="0" applyFont="1" applyFill="1" applyAlignment="1">
      <alignment vertical="top" wrapText="1"/>
    </xf>
    <xf numFmtId="0" fontId="11" fillId="0" borderId="0" xfId="881" applyNumberFormat="1" applyFont="1" applyAlignment="1" applyProtection="1">
      <alignment horizontal="left" wrapText="1"/>
    </xf>
    <xf numFmtId="0" fontId="11" fillId="0" borderId="0" xfId="1528" applyFont="1" applyAlignment="1">
      <alignment horizontal="left" vertical="top" wrapText="1"/>
    </xf>
    <xf numFmtId="0" fontId="11" fillId="0" borderId="0" xfId="760" applyFont="1" applyAlignment="1">
      <alignment horizontal="left" vertical="top" wrapText="1"/>
    </xf>
    <xf numFmtId="172" fontId="68" fillId="0" borderId="0" xfId="881" applyFont="1" applyAlignment="1" applyProtection="1">
      <alignment horizontal="left" wrapText="1"/>
    </xf>
    <xf numFmtId="0" fontId="14" fillId="0" borderId="0" xfId="881" applyNumberFormat="1" applyFont="1" applyAlignment="1" applyProtection="1">
      <alignment horizontal="center"/>
    </xf>
    <xf numFmtId="0" fontId="17" fillId="0" borderId="0" xfId="0" applyFont="1"/>
    <xf numFmtId="49" fontId="11" fillId="0" borderId="0" xfId="881" applyNumberFormat="1" applyFont="1" applyAlignment="1" applyProtection="1">
      <alignment horizontal="center"/>
    </xf>
    <xf numFmtId="0" fontId="8" fillId="0" borderId="0" xfId="0" applyFont="1" applyAlignment="1">
      <alignment horizontal="center"/>
    </xf>
    <xf numFmtId="0" fontId="11" fillId="0" borderId="0" xfId="881" applyNumberFormat="1" applyFont="1" applyAlignment="1" applyProtection="1">
      <alignment horizontal="left" vertical="top" wrapText="1"/>
    </xf>
    <xf numFmtId="0" fontId="11" fillId="0" borderId="0" xfId="0" applyFont="1" applyAlignment="1">
      <alignment horizontal="left" vertical="top" wrapText="1"/>
    </xf>
    <xf numFmtId="0" fontId="11" fillId="0" borderId="0" xfId="881" applyNumberFormat="1" applyFont="1" applyAlignment="1" applyProtection="1">
      <alignment horizontal="left" vertical="center" wrapText="1"/>
    </xf>
    <xf numFmtId="0" fontId="11" fillId="0" borderId="0" xfId="0" applyFont="1" applyAlignment="1">
      <alignment wrapText="1"/>
    </xf>
    <xf numFmtId="172" fontId="11" fillId="0" borderId="0" xfId="881" applyFont="1" applyAlignment="1" applyProtection="1">
      <alignment wrapText="1"/>
    </xf>
    <xf numFmtId="37" fontId="13" fillId="0" borderId="0" xfId="1123" applyNumberFormat="1" applyFont="1" applyAlignment="1">
      <alignment horizontal="center"/>
    </xf>
    <xf numFmtId="0" fontId="13" fillId="0" borderId="2" xfId="1123" applyFont="1" applyBorder="1" applyAlignment="1">
      <alignment horizontal="center"/>
    </xf>
    <xf numFmtId="0" fontId="11" fillId="0" borderId="0" xfId="791" applyFont="1" applyAlignment="1">
      <alignment horizontal="center"/>
    </xf>
    <xf numFmtId="0" fontId="12" fillId="0" borderId="0" xfId="791" applyFont="1" applyAlignment="1">
      <alignment horizontal="center"/>
    </xf>
    <xf numFmtId="3" fontId="12" fillId="0" borderId="0" xfId="791" applyNumberFormat="1" applyFont="1" applyAlignment="1">
      <alignment horizontal="center"/>
    </xf>
    <xf numFmtId="0" fontId="13" fillId="0" borderId="64" xfId="1123" applyFont="1" applyBorder="1" applyAlignment="1">
      <alignment horizontal="center" wrapText="1"/>
    </xf>
    <xf numFmtId="0" fontId="13" fillId="0" borderId="14" xfId="1123" applyFont="1" applyBorder="1" applyAlignment="1">
      <alignment horizontal="center" wrapText="1"/>
    </xf>
    <xf numFmtId="0" fontId="13" fillId="0" borderId="65" xfId="1123" applyFont="1" applyBorder="1" applyAlignment="1">
      <alignment horizontal="center" wrapText="1"/>
    </xf>
    <xf numFmtId="0" fontId="11" fillId="0" borderId="0" xfId="0" applyFont="1" applyAlignment="1">
      <alignment horizontal="center"/>
    </xf>
    <xf numFmtId="3" fontId="12" fillId="0" borderId="0" xfId="198" applyNumberFormat="1" applyFont="1" applyFill="1" applyAlignment="1" applyProtection="1">
      <alignment horizontal="center"/>
    </xf>
    <xf numFmtId="0" fontId="58" fillId="0" borderId="0" xfId="0" applyFont="1" applyAlignment="1">
      <alignment horizontal="left" vertical="top" wrapText="1"/>
    </xf>
    <xf numFmtId="0" fontId="17" fillId="0" borderId="0" xfId="878" applyFont="1" applyAlignment="1">
      <alignment horizontal="center" wrapText="1"/>
    </xf>
    <xf numFmtId="0" fontId="16" fillId="0" borderId="0" xfId="0" applyFont="1" applyAlignment="1">
      <alignment wrapText="1"/>
    </xf>
    <xf numFmtId="0" fontId="22" fillId="0" borderId="0" xfId="0" applyFont="1" applyAlignment="1">
      <alignment horizontal="center"/>
    </xf>
    <xf numFmtId="0" fontId="22" fillId="0" borderId="0" xfId="791" applyFont="1" applyAlignment="1">
      <alignment horizontal="center"/>
    </xf>
    <xf numFmtId="3" fontId="10" fillId="0" borderId="0" xfId="0" applyNumberFormat="1" applyFont="1" applyAlignment="1">
      <alignment horizontal="center"/>
    </xf>
    <xf numFmtId="0" fontId="22" fillId="0" borderId="0" xfId="0" applyFont="1" applyAlignment="1">
      <alignment horizontal="center" wrapText="1"/>
    </xf>
    <xf numFmtId="0" fontId="16" fillId="0" borderId="0" xfId="0" applyFont="1" applyAlignment="1">
      <alignment horizontal="left" wrapText="1"/>
    </xf>
    <xf numFmtId="0" fontId="17"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xf>
    <xf numFmtId="3" fontId="8" fillId="0" borderId="0" xfId="798" applyFont="1" applyAlignment="1">
      <alignment horizontal="left" vertical="top" wrapText="1"/>
    </xf>
    <xf numFmtId="3" fontId="16" fillId="0" borderId="11" xfId="798" applyBorder="1" applyAlignment="1">
      <alignment horizontal="center" wrapText="1"/>
    </xf>
    <xf numFmtId="3" fontId="22" fillId="0" borderId="0" xfId="791" applyNumberFormat="1" applyFont="1" applyAlignment="1">
      <alignment horizontal="center"/>
    </xf>
    <xf numFmtId="3" fontId="84" fillId="0" borderId="0" xfId="798" applyFont="1" applyAlignment="1">
      <alignment horizontal="left" wrapText="1"/>
    </xf>
    <xf numFmtId="3" fontId="16" fillId="0" borderId="0" xfId="798" applyAlignment="1">
      <alignment horizontal="left" wrapText="1"/>
    </xf>
    <xf numFmtId="49" fontId="190" fillId="0" borderId="0" xfId="198" applyNumberFormat="1" applyFont="1" applyAlignment="1" applyProtection="1">
      <alignment horizontal="center" wrapText="1"/>
    </xf>
    <xf numFmtId="173" fontId="190" fillId="0" borderId="11" xfId="198" applyNumberFormat="1" applyFont="1" applyBorder="1" applyAlignment="1" applyProtection="1">
      <alignment horizontal="center"/>
    </xf>
    <xf numFmtId="173" fontId="190" fillId="0" borderId="0" xfId="198" applyNumberFormat="1" applyFont="1" applyAlignment="1" applyProtection="1">
      <alignment horizontal="left" wrapText="1"/>
    </xf>
    <xf numFmtId="173" fontId="191" fillId="0" borderId="0" xfId="198" applyNumberFormat="1" applyFont="1" applyFill="1" applyAlignment="1" applyProtection="1">
      <alignment horizontal="center"/>
    </xf>
    <xf numFmtId="173" fontId="191" fillId="0" borderId="0" xfId="198" applyNumberFormat="1" applyFont="1" applyFill="1" applyBorder="1" applyAlignment="1" applyProtection="1">
      <alignment horizontal="center"/>
    </xf>
    <xf numFmtId="173" fontId="192" fillId="0" borderId="0" xfId="198" applyNumberFormat="1" applyFont="1" applyFill="1" applyBorder="1" applyAlignment="1" applyProtection="1">
      <alignment horizontal="center"/>
    </xf>
    <xf numFmtId="173" fontId="192" fillId="0" borderId="0" xfId="198" applyNumberFormat="1" applyFont="1" applyFill="1" applyAlignment="1" applyProtection="1">
      <alignment horizontal="center"/>
    </xf>
    <xf numFmtId="173" fontId="190" fillId="0" borderId="11" xfId="198" applyNumberFormat="1" applyFont="1" applyBorder="1" applyAlignment="1" applyProtection="1">
      <alignment horizontal="center" wrapText="1"/>
    </xf>
    <xf numFmtId="172" fontId="24" fillId="0" borderId="0" xfId="1541" applyFont="1" applyAlignment="1">
      <alignment horizontal="left" wrapText="1"/>
    </xf>
    <xf numFmtId="0" fontId="24" fillId="0" borderId="11" xfId="1540" applyFont="1" applyBorder="1" applyAlignment="1">
      <alignment horizontal="center"/>
    </xf>
    <xf numFmtId="172" fontId="24" fillId="0" borderId="11" xfId="1541" applyFont="1" applyBorder="1" applyAlignment="1">
      <alignment horizontal="center"/>
    </xf>
    <xf numFmtId="0" fontId="24" fillId="0" borderId="11" xfId="1540" applyFont="1" applyBorder="1" applyAlignment="1">
      <alignment horizontal="center" wrapText="1"/>
    </xf>
    <xf numFmtId="0" fontId="25" fillId="0" borderId="0" xfId="1540" applyFont="1" applyAlignment="1">
      <alignment horizontal="center" wrapText="1"/>
    </xf>
    <xf numFmtId="0" fontId="24" fillId="0" borderId="0" xfId="1540" applyFont="1" applyAlignment="1">
      <alignment horizontal="center" wrapText="1"/>
    </xf>
    <xf numFmtId="172" fontId="24" fillId="0" borderId="0" xfId="1541" applyFont="1" applyAlignment="1">
      <alignment horizontal="left" vertical="center" wrapText="1"/>
    </xf>
    <xf numFmtId="172" fontId="24" fillId="0" borderId="0" xfId="1541" applyFont="1" applyAlignment="1">
      <alignment horizontal="left" vertical="top" wrapText="1"/>
    </xf>
    <xf numFmtId="0" fontId="24" fillId="0" borderId="0" xfId="1539" applyFont="1" applyAlignment="1">
      <alignment horizontal="left" vertical="top" wrapText="1"/>
    </xf>
    <xf numFmtId="0" fontId="24" fillId="0" borderId="0" xfId="1539" applyFont="1" applyAlignment="1">
      <alignment horizontal="left" wrapText="1"/>
    </xf>
    <xf numFmtId="49" fontId="226" fillId="0" borderId="0" xfId="1558" applyNumberFormat="1" applyFont="1" applyAlignment="1">
      <alignment horizontal="left" vertical="top" wrapText="1"/>
    </xf>
    <xf numFmtId="173" fontId="225" fillId="0" borderId="0" xfId="1558" applyNumberFormat="1" applyFont="1" applyAlignment="1">
      <alignment horizontal="center" wrapText="1"/>
    </xf>
    <xf numFmtId="173" fontId="225" fillId="0" borderId="0" xfId="1558" applyNumberFormat="1" applyFont="1" applyAlignment="1">
      <alignment horizontal="left" vertical="top" wrapText="1"/>
    </xf>
    <xf numFmtId="49" fontId="225" fillId="0" borderId="0" xfId="1558" applyNumberFormat="1" applyFont="1" applyFill="1" applyAlignment="1">
      <alignment horizontal="left" wrapText="1"/>
    </xf>
    <xf numFmtId="49" fontId="225" fillId="0" borderId="0" xfId="1558" applyNumberFormat="1" applyFont="1" applyAlignment="1">
      <alignment horizontal="left" wrapText="1"/>
    </xf>
    <xf numFmtId="173" fontId="227" fillId="0" borderId="11" xfId="1558" applyNumberFormat="1" applyFont="1" applyFill="1" applyBorder="1" applyAlignment="1" applyProtection="1">
      <alignment horizontal="center"/>
      <protection locked="0"/>
    </xf>
    <xf numFmtId="49" fontId="225" fillId="0" borderId="0" xfId="1558" applyNumberFormat="1" applyFont="1" applyAlignment="1">
      <alignment horizontal="left" vertical="top" wrapText="1"/>
    </xf>
    <xf numFmtId="173" fontId="225" fillId="0" borderId="0" xfId="1558" applyNumberFormat="1" applyFont="1" applyAlignment="1">
      <alignment horizontal="left" wrapText="1"/>
    </xf>
    <xf numFmtId="172" fontId="225" fillId="0" borderId="0" xfId="1545" applyFont="1" applyAlignment="1">
      <alignment horizontal="left" wrapText="1"/>
    </xf>
    <xf numFmtId="0" fontId="190" fillId="0" borderId="0" xfId="1559" applyFont="1" applyAlignment="1">
      <alignment horizontal="left" vertical="top" wrapText="1"/>
    </xf>
    <xf numFmtId="41" fontId="227" fillId="0" borderId="11" xfId="1176" applyNumberFormat="1" applyFont="1" applyBorder="1" applyAlignment="1" applyProtection="1">
      <alignment horizontal="center"/>
      <protection locked="0"/>
    </xf>
    <xf numFmtId="172" fontId="225" fillId="0" borderId="0" xfId="1545" applyFont="1" applyAlignment="1">
      <alignment horizontal="center" wrapText="1"/>
    </xf>
    <xf numFmtId="172" fontId="225" fillId="0" borderId="0" xfId="1545" applyFont="1" applyAlignment="1">
      <alignment horizontal="left" vertical="top" wrapText="1"/>
    </xf>
    <xf numFmtId="2" fontId="225" fillId="0" borderId="0" xfId="1545" applyNumberFormat="1" applyFont="1" applyAlignment="1">
      <alignment horizontal="left" wrapText="1"/>
    </xf>
    <xf numFmtId="0" fontId="8" fillId="0" borderId="0" xfId="878" applyAlignment="1">
      <alignment horizontal="left" vertical="top" wrapText="1"/>
    </xf>
    <xf numFmtId="0" fontId="13" fillId="0" borderId="11" xfId="791" applyFont="1" applyBorder="1" applyAlignment="1">
      <alignment horizontal="center" wrapText="1"/>
    </xf>
    <xf numFmtId="0" fontId="69" fillId="0" borderId="0" xfId="878" applyFont="1" applyAlignment="1">
      <alignment horizontal="center"/>
    </xf>
    <xf numFmtId="0" fontId="69" fillId="0" borderId="0" xfId="791" applyFont="1" applyAlignment="1">
      <alignment horizontal="center"/>
    </xf>
    <xf numFmtId="0" fontId="21" fillId="0" borderId="0" xfId="878" applyFont="1" applyAlignment="1">
      <alignment horizontal="center" wrapText="1"/>
    </xf>
    <xf numFmtId="0" fontId="17" fillId="0" borderId="0" xfId="0" applyFont="1" applyAlignment="1">
      <alignment horizontal="center" wrapText="1"/>
    </xf>
    <xf numFmtId="3" fontId="12" fillId="0" borderId="0" xfId="0" applyNumberFormat="1" applyFont="1" applyAlignment="1">
      <alignment horizontal="center"/>
    </xf>
    <xf numFmtId="172" fontId="22" fillId="0" borderId="43" xfId="881" applyFont="1" applyBorder="1" applyAlignment="1" applyProtection="1">
      <alignment horizontal="left" wrapText="1"/>
    </xf>
    <xf numFmtId="172" fontId="22" fillId="0" borderId="17" xfId="881" applyFont="1" applyBorder="1" applyAlignment="1" applyProtection="1">
      <alignment horizontal="left" wrapText="1"/>
    </xf>
    <xf numFmtId="172" fontId="22" fillId="0" borderId="21" xfId="881" applyFont="1" applyBorder="1" applyAlignment="1" applyProtection="1">
      <alignment horizontal="left" wrapText="1"/>
    </xf>
    <xf numFmtId="172" fontId="22" fillId="0" borderId="19" xfId="881" applyFont="1" applyBorder="1" applyAlignment="1" applyProtection="1">
      <alignment horizontal="left" wrapText="1"/>
    </xf>
    <xf numFmtId="172" fontId="22" fillId="0" borderId="0" xfId="881" applyFont="1" applyAlignment="1" applyProtection="1">
      <alignment horizontal="left" wrapText="1"/>
    </xf>
    <xf numFmtId="172" fontId="22" fillId="0" borderId="20" xfId="881" applyFont="1" applyBorder="1" applyAlignment="1" applyProtection="1">
      <alignment horizontal="left" wrapText="1"/>
    </xf>
    <xf numFmtId="0" fontId="10" fillId="0" borderId="0" xfId="0" applyFont="1" applyAlignment="1">
      <alignment wrapText="1"/>
    </xf>
    <xf numFmtId="172" fontId="11" fillId="0" borderId="43" xfId="881" applyFont="1" applyBorder="1" applyAlignment="1" applyProtection="1">
      <alignment horizontal="left" wrapText="1"/>
    </xf>
    <xf numFmtId="172" fontId="11" fillId="0" borderId="17" xfId="881" applyFont="1" applyBorder="1" applyAlignment="1" applyProtection="1">
      <alignment horizontal="left" wrapText="1"/>
    </xf>
    <xf numFmtId="172" fontId="11" fillId="0" borderId="21" xfId="881" applyFont="1" applyBorder="1" applyAlignment="1" applyProtection="1">
      <alignment horizontal="left" wrapText="1"/>
    </xf>
    <xf numFmtId="172" fontId="11" fillId="0" borderId="19" xfId="881" applyFont="1" applyBorder="1" applyAlignment="1" applyProtection="1">
      <alignment horizontal="left" wrapText="1"/>
    </xf>
    <xf numFmtId="172" fontId="11" fillId="0" borderId="0" xfId="881" applyFont="1" applyAlignment="1" applyProtection="1">
      <alignment horizontal="left" wrapText="1"/>
    </xf>
    <xf numFmtId="172" fontId="11" fillId="0" borderId="20" xfId="881" applyFont="1" applyBorder="1" applyAlignment="1" applyProtection="1">
      <alignment horizontal="left" wrapText="1"/>
    </xf>
    <xf numFmtId="3" fontId="11" fillId="0" borderId="0" xfId="791" applyNumberFormat="1" applyFont="1" applyAlignment="1">
      <alignment horizontal="center"/>
    </xf>
    <xf numFmtId="0" fontId="113" fillId="0" borderId="0" xfId="883" applyFont="1" applyAlignment="1">
      <alignment horizontal="left" vertical="top" wrapText="1"/>
    </xf>
    <xf numFmtId="0" fontId="21" fillId="0" borderId="11" xfId="0" applyFont="1" applyBorder="1" applyAlignment="1">
      <alignment horizontal="center"/>
    </xf>
    <xf numFmtId="0" fontId="13" fillId="0" borderId="0" xfId="0" applyFont="1" applyAlignment="1">
      <alignment horizontal="center" wrapText="1"/>
    </xf>
    <xf numFmtId="3" fontId="58" fillId="0" borderId="0" xfId="760" applyNumberFormat="1" applyFont="1" applyAlignment="1">
      <alignment horizontal="left" wrapText="1"/>
    </xf>
    <xf numFmtId="0" fontId="121" fillId="0" borderId="0" xfId="878" applyFont="1" applyAlignment="1">
      <alignment horizontal="left" wrapText="1"/>
    </xf>
    <xf numFmtId="0" fontId="11" fillId="0" borderId="0" xfId="791" applyFont="1" applyAlignment="1">
      <alignment horizontal="center" vertical="center"/>
    </xf>
    <xf numFmtId="0" fontId="12" fillId="0" borderId="0" xfId="791" applyFont="1" applyAlignment="1">
      <alignment horizontal="center" vertical="center"/>
    </xf>
    <xf numFmtId="0" fontId="18" fillId="0" borderId="11" xfId="0" applyFont="1" applyBorder="1" applyAlignment="1">
      <alignment horizontal="center"/>
    </xf>
    <xf numFmtId="3" fontId="122" fillId="0" borderId="0" xfId="0" applyNumberFormat="1" applyFont="1" applyAlignment="1">
      <alignment horizontal="center"/>
    </xf>
    <xf numFmtId="3" fontId="11" fillId="0" borderId="0" xfId="0" applyNumberFormat="1" applyFont="1" applyAlignment="1">
      <alignment horizontal="center"/>
    </xf>
    <xf numFmtId="3" fontId="12" fillId="0" borderId="0" xfId="198" applyNumberFormat="1" applyFont="1" applyFill="1" applyAlignment="1">
      <alignment horizontal="center"/>
    </xf>
    <xf numFmtId="0" fontId="58" fillId="0" borderId="0" xfId="1172" applyFont="1" applyAlignment="1">
      <alignment horizontal="left" vertical="top" wrapText="1"/>
    </xf>
    <xf numFmtId="0" fontId="8" fillId="0" borderId="0" xfId="1177" applyAlignment="1">
      <alignment horizontal="left" wrapText="1"/>
    </xf>
    <xf numFmtId="0" fontId="8" fillId="0" borderId="0" xfId="1178" applyAlignment="1">
      <alignment wrapText="1"/>
    </xf>
    <xf numFmtId="0" fontId="164" fillId="0" borderId="0" xfId="1177" applyFont="1" applyAlignment="1">
      <alignment horizontal="left" wrapText="1"/>
    </xf>
    <xf numFmtId="41" fontId="13" fillId="0" borderId="0" xfId="1177" applyNumberFormat="1" applyFont="1" applyAlignment="1">
      <alignment horizontal="center" wrapText="1"/>
    </xf>
    <xf numFmtId="0" fontId="13" fillId="0" borderId="64" xfId="1173" applyFont="1" applyBorder="1" applyAlignment="1">
      <alignment horizontal="center" wrapText="1"/>
    </xf>
    <xf numFmtId="0" fontId="13" fillId="0" borderId="14" xfId="1173" applyFont="1" applyBorder="1" applyAlignment="1">
      <alignment horizontal="center" wrapText="1"/>
    </xf>
    <xf numFmtId="0" fontId="13" fillId="0" borderId="65" xfId="1173" applyFont="1" applyBorder="1" applyAlignment="1">
      <alignment horizontal="center" wrapText="1"/>
    </xf>
    <xf numFmtId="0" fontId="13" fillId="0" borderId="64" xfId="1172" applyFont="1" applyBorder="1" applyAlignment="1">
      <alignment horizontal="center"/>
    </xf>
    <xf numFmtId="0" fontId="13" fillId="0" borderId="14" xfId="1172" applyFont="1" applyBorder="1" applyAlignment="1">
      <alignment horizontal="center"/>
    </xf>
    <xf numFmtId="0" fontId="13" fillId="0" borderId="65" xfId="1172" applyFont="1" applyBorder="1" applyAlignment="1">
      <alignment horizontal="center"/>
    </xf>
    <xf numFmtId="0" fontId="196" fillId="0" borderId="0" xfId="0" applyFont="1" applyAlignment="1">
      <alignment horizontal="left" wrapText="1"/>
    </xf>
    <xf numFmtId="0" fontId="68" fillId="0" borderId="0" xfId="0" applyFont="1" applyAlignment="1">
      <alignment horizontal="center"/>
    </xf>
    <xf numFmtId="0" fontId="12" fillId="0" borderId="0" xfId="0" applyFont="1" applyAlignment="1">
      <alignment horizontal="center"/>
    </xf>
    <xf numFmtId="0" fontId="196" fillId="0" borderId="0" xfId="0" applyFont="1" applyAlignment="1">
      <alignment horizontal="left" vertical="top" wrapText="1"/>
    </xf>
    <xf numFmtId="0" fontId="196" fillId="0" borderId="0" xfId="0" applyFont="1" applyAlignment="1" applyProtection="1">
      <alignment horizontal="left" wrapText="1"/>
      <protection locked="0"/>
    </xf>
    <xf numFmtId="0" fontId="12" fillId="0" borderId="0" xfId="0" applyFont="1" applyAlignment="1" applyProtection="1">
      <alignment horizontal="center"/>
      <protection locked="0"/>
    </xf>
    <xf numFmtId="3" fontId="12" fillId="0" borderId="0" xfId="0" applyNumberFormat="1" applyFont="1" applyAlignment="1" applyProtection="1">
      <alignment horizontal="center"/>
      <protection locked="0"/>
    </xf>
    <xf numFmtId="0" fontId="19" fillId="0" borderId="0" xfId="862" applyFont="1" applyAlignment="1">
      <alignment horizontal="left" wrapText="1"/>
    </xf>
    <xf numFmtId="0" fontId="68" fillId="0" borderId="0" xfId="0" applyFont="1" applyAlignment="1">
      <alignment horizont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12" fillId="0" borderId="0" xfId="0" applyNumberFormat="1" applyFont="1" applyAlignment="1">
      <alignment horizontal="center" wrapText="1"/>
    </xf>
    <xf numFmtId="0" fontId="19" fillId="0" borderId="0" xfId="862" quotePrefix="1" applyFont="1" applyAlignment="1">
      <alignment horizontal="left" wrapText="1"/>
    </xf>
    <xf numFmtId="0" fontId="58" fillId="0" borderId="0" xfId="760" applyFont="1" applyAlignment="1">
      <alignment horizontal="left" wrapText="1"/>
    </xf>
    <xf numFmtId="0" fontId="21" fillId="0" borderId="0" xfId="791" quotePrefix="1" applyFont="1" applyAlignment="1">
      <alignment horizontal="center" wrapText="1"/>
    </xf>
    <xf numFmtId="3" fontId="58" fillId="0" borderId="0" xfId="760" applyNumberFormat="1" applyFont="1" applyAlignment="1">
      <alignment horizontal="left" vertical="top" wrapText="1"/>
    </xf>
    <xf numFmtId="0" fontId="11" fillId="0" borderId="0" xfId="799" applyFont="1" applyAlignment="1">
      <alignment horizontal="left" wrapText="1"/>
    </xf>
    <xf numFmtId="3" fontId="192" fillId="0" borderId="0" xfId="852" applyFont="1" applyAlignment="1">
      <alignment horizontal="center"/>
    </xf>
    <xf numFmtId="0" fontId="11" fillId="0" borderId="0" xfId="799" applyFont="1" applyAlignment="1">
      <alignment horizontal="center"/>
    </xf>
    <xf numFmtId="0" fontId="11" fillId="0" borderId="0" xfId="1172" applyFont="1" applyAlignment="1">
      <alignment horizontal="center"/>
    </xf>
    <xf numFmtId="0" fontId="12" fillId="0" borderId="0" xfId="1172" applyFont="1" applyAlignment="1">
      <alignment horizontal="center"/>
    </xf>
    <xf numFmtId="3" fontId="12" fillId="0" borderId="0" xfId="799" applyNumberFormat="1" applyFont="1" applyAlignment="1">
      <alignment horizontal="center"/>
    </xf>
    <xf numFmtId="0" fontId="12" fillId="0" borderId="0" xfId="799" applyFont="1" applyAlignment="1">
      <alignment horizontal="center"/>
    </xf>
    <xf numFmtId="37" fontId="13" fillId="0" borderId="0" xfId="1173" applyNumberFormat="1" applyFont="1" applyAlignment="1">
      <alignment horizontal="center"/>
    </xf>
    <xf numFmtId="0" fontId="13" fillId="0" borderId="2" xfId="1173" applyFont="1" applyBorder="1" applyAlignment="1">
      <alignment horizontal="center"/>
    </xf>
    <xf numFmtId="0" fontId="11" fillId="0" borderId="0" xfId="1409" applyFont="1" applyAlignment="1">
      <alignment horizontal="center"/>
    </xf>
    <xf numFmtId="0" fontId="12" fillId="0" borderId="0" xfId="1409" applyFont="1" applyAlignment="1">
      <alignment horizontal="center"/>
    </xf>
    <xf numFmtId="3" fontId="12" fillId="0" borderId="0" xfId="1409" applyNumberFormat="1" applyFont="1" applyAlignment="1">
      <alignment horizontal="center"/>
    </xf>
    <xf numFmtId="0" fontId="22" fillId="0" borderId="0" xfId="1409" applyFont="1" applyAlignment="1">
      <alignment horizontal="center"/>
    </xf>
    <xf numFmtId="0" fontId="8" fillId="0" borderId="0" xfId="0" applyFont="1" applyAlignment="1">
      <alignment wrapText="1"/>
    </xf>
    <xf numFmtId="0" fontId="8" fillId="0" borderId="0" xfId="0" applyFont="1" applyAlignment="1">
      <alignment horizontal="left" wrapText="1"/>
    </xf>
    <xf numFmtId="3" fontId="8" fillId="0" borderId="11" xfId="1532" applyBorder="1" applyAlignment="1">
      <alignment horizontal="center" wrapText="1"/>
    </xf>
    <xf numFmtId="3" fontId="8" fillId="0" borderId="0" xfId="1532" applyAlignment="1">
      <alignment horizontal="left" vertical="top" wrapText="1"/>
    </xf>
    <xf numFmtId="3" fontId="22" fillId="0" borderId="0" xfId="1409" applyNumberFormat="1" applyFont="1" applyAlignment="1">
      <alignment horizontal="center"/>
    </xf>
    <xf numFmtId="3" fontId="84" fillId="0" borderId="0" xfId="1532" applyFont="1" applyAlignment="1">
      <alignment horizontal="left" wrapText="1"/>
    </xf>
    <xf numFmtId="3" fontId="8" fillId="0" borderId="0" xfId="1532" applyAlignment="1">
      <alignment horizontal="left" wrapText="1"/>
    </xf>
    <xf numFmtId="173" fontId="225" fillId="0" borderId="0" xfId="1561" applyNumberFormat="1" applyFont="1" applyAlignment="1">
      <alignment horizontal="left" wrapText="1"/>
    </xf>
    <xf numFmtId="49" fontId="190" fillId="0" borderId="0" xfId="1561" applyNumberFormat="1" applyFont="1" applyAlignment="1">
      <alignment horizontal="left" vertical="top" wrapText="1"/>
    </xf>
    <xf numFmtId="173" fontId="227" fillId="0" borderId="11" xfId="1561" applyNumberFormat="1" applyFont="1" applyFill="1" applyBorder="1" applyAlignment="1" applyProtection="1">
      <alignment horizontal="center"/>
      <protection locked="0"/>
    </xf>
    <xf numFmtId="173" fontId="225" fillId="0" borderId="0" xfId="1561" applyNumberFormat="1" applyFont="1" applyAlignment="1">
      <alignment horizontal="center" wrapText="1"/>
    </xf>
    <xf numFmtId="49" fontId="225" fillId="0" borderId="0" xfId="1561" applyNumberFormat="1" applyFont="1" applyFill="1" applyAlignment="1">
      <alignment horizontal="left" wrapText="1"/>
    </xf>
    <xf numFmtId="49" fontId="225" fillId="0" borderId="0" xfId="1561" applyNumberFormat="1" applyFont="1" applyAlignment="1">
      <alignment horizontal="left" wrapText="1"/>
    </xf>
    <xf numFmtId="49" fontId="225" fillId="0" borderId="0" xfId="1561" applyNumberFormat="1" applyFont="1" applyAlignment="1">
      <alignment horizontal="left" vertical="top" wrapText="1"/>
    </xf>
    <xf numFmtId="173" fontId="225" fillId="0" borderId="0" xfId="1561" applyNumberFormat="1" applyFont="1" applyAlignment="1">
      <alignment horizontal="left" vertical="top" wrapText="1"/>
    </xf>
    <xf numFmtId="0" fontId="24" fillId="0" borderId="11" xfId="1539" applyFont="1" applyBorder="1" applyAlignment="1">
      <alignment horizontal="center"/>
    </xf>
    <xf numFmtId="0" fontId="24" fillId="0" borderId="11" xfId="1539" applyFont="1" applyBorder="1" applyAlignment="1">
      <alignment horizontal="center" wrapText="1"/>
    </xf>
    <xf numFmtId="0" fontId="25" fillId="0" borderId="0" xfId="1539" applyFont="1" applyAlignment="1">
      <alignment horizontal="center" wrapText="1"/>
    </xf>
    <xf numFmtId="0" fontId="24" fillId="0" borderId="0" xfId="1539" applyFont="1" applyAlignment="1">
      <alignment horizontal="center" wrapText="1"/>
    </xf>
    <xf numFmtId="0" fontId="13" fillId="0" borderId="11" xfId="1409" applyFont="1" applyBorder="1" applyAlignment="1">
      <alignment horizontal="center" wrapText="1"/>
    </xf>
    <xf numFmtId="0" fontId="69" fillId="0" borderId="0" xfId="1409" applyFont="1" applyAlignment="1">
      <alignment horizontal="center"/>
    </xf>
    <xf numFmtId="3" fontId="11" fillId="0" borderId="0" xfId="1409" applyNumberFormat="1" applyFont="1" applyAlignment="1">
      <alignment horizontal="center"/>
    </xf>
    <xf numFmtId="3" fontId="58" fillId="0" borderId="0" xfId="1528" applyNumberFormat="1" applyFont="1" applyAlignment="1">
      <alignment horizontal="left" wrapText="1"/>
    </xf>
    <xf numFmtId="0" fontId="11" fillId="0" borderId="0" xfId="1409" applyFont="1" applyAlignment="1">
      <alignment horizontal="center" vertical="center"/>
    </xf>
    <xf numFmtId="0" fontId="12" fillId="0" borderId="0" xfId="1409" applyFont="1" applyAlignment="1">
      <alignment horizontal="center" vertical="center"/>
    </xf>
    <xf numFmtId="0" fontId="19" fillId="0" borderId="0" xfId="1535" applyFont="1" applyAlignment="1">
      <alignment horizontal="left" wrapText="1"/>
    </xf>
    <xf numFmtId="0" fontId="19" fillId="0" borderId="0" xfId="1535" quotePrefix="1" applyFont="1" applyAlignment="1">
      <alignment horizontal="left" wrapText="1"/>
    </xf>
    <xf numFmtId="0" fontId="58" fillId="0" borderId="0" xfId="1528" applyFont="1" applyAlignment="1">
      <alignment horizontal="left" wrapText="1"/>
    </xf>
    <xf numFmtId="0" fontId="21" fillId="0" borderId="0" xfId="1409" quotePrefix="1" applyFont="1" applyAlignment="1">
      <alignment horizontal="center" wrapText="1"/>
    </xf>
    <xf numFmtId="3" fontId="58" fillId="0" borderId="0" xfId="1528" applyNumberFormat="1" applyFont="1" applyAlignment="1">
      <alignment horizontal="left" vertical="top" wrapText="1"/>
    </xf>
    <xf numFmtId="0" fontId="8" fillId="0" borderId="0" xfId="1172" applyAlignment="1">
      <alignment vertical="center" wrapText="1"/>
    </xf>
    <xf numFmtId="0" fontId="201" fillId="0" borderId="0" xfId="1172" applyFont="1" applyAlignment="1">
      <alignment horizontal="center"/>
    </xf>
    <xf numFmtId="0" fontId="202" fillId="0" borderId="69" xfId="1172" applyFont="1" applyBorder="1" applyAlignment="1">
      <alignment horizontal="center"/>
    </xf>
    <xf numFmtId="3" fontId="12" fillId="0" borderId="0" xfId="1172" applyNumberFormat="1" applyFont="1" applyAlignment="1">
      <alignment horizontal="center"/>
    </xf>
    <xf numFmtId="173" fontId="11" fillId="0" borderId="0" xfId="275" applyNumberFormat="1" applyFont="1"/>
    <xf numFmtId="170" fontId="23" fillId="27" borderId="0" xfId="881" applyNumberFormat="1" applyFont="1" applyFill="1"/>
    <xf numFmtId="170" fontId="23" fillId="27" borderId="11" xfId="881" applyNumberFormat="1" applyFont="1" applyFill="1" applyBorder="1"/>
    <xf numFmtId="173" fontId="88" fillId="27" borderId="0" xfId="198" applyNumberFormat="1" applyFont="1" applyFill="1"/>
    <xf numFmtId="37" fontId="88" fillId="27" borderId="0" xfId="198" applyNumberFormat="1" applyFont="1" applyFill="1"/>
    <xf numFmtId="173" fontId="23" fillId="27" borderId="0" xfId="198" applyNumberFormat="1" applyFont="1" applyFill="1"/>
    <xf numFmtId="170" fontId="0" fillId="27" borderId="39" xfId="198" applyNumberFormat="1" applyFont="1" applyFill="1" applyBorder="1" applyAlignment="1">
      <alignment horizontal="center" wrapText="1"/>
    </xf>
    <xf numFmtId="37" fontId="0" fillId="65" borderId="0" xfId="0" applyNumberFormat="1" applyFill="1"/>
    <xf numFmtId="174" fontId="0" fillId="66" borderId="0" xfId="1536" applyNumberFormat="1" applyFont="1" applyFill="1"/>
    <xf numFmtId="1" fontId="25" fillId="0" borderId="0" xfId="1415" applyNumberFormat="1" applyFont="1" applyAlignment="1">
      <alignment horizontal="center"/>
    </xf>
    <xf numFmtId="173" fontId="24" fillId="27" borderId="0" xfId="1538" applyNumberFormat="1" applyFont="1" applyFill="1" applyAlignment="1">
      <alignment horizontal="left"/>
    </xf>
    <xf numFmtId="37" fontId="24" fillId="27" borderId="0" xfId="1538" applyNumberFormat="1" applyFont="1" applyFill="1" applyAlignment="1">
      <alignment horizontal="left"/>
    </xf>
    <xf numFmtId="173" fontId="190" fillId="27" borderId="0" xfId="198" applyNumberFormat="1" applyFont="1" applyFill="1" applyAlignment="1">
      <alignment horizontal="center"/>
    </xf>
    <xf numFmtId="37" fontId="0" fillId="60" borderId="0" xfId="275" applyNumberFormat="1" applyFont="1" applyFill="1"/>
    <xf numFmtId="37" fontId="0" fillId="60" borderId="0" xfId="1201" applyNumberFormat="1" applyFont="1" applyFill="1"/>
    <xf numFmtId="173" fontId="88" fillId="27" borderId="0" xfId="1201" applyNumberFormat="1" applyFont="1" applyFill="1"/>
    <xf numFmtId="173" fontId="190" fillId="60" borderId="0" xfId="198" applyNumberFormat="1" applyFont="1" applyFill="1" applyAlignment="1">
      <alignment horizontal="center"/>
    </xf>
    <xf numFmtId="37" fontId="225" fillId="0" borderId="0" xfId="1558" applyNumberFormat="1" applyFont="1"/>
    <xf numFmtId="173" fontId="88" fillId="27" borderId="0" xfId="275" applyNumberFormat="1" applyFont="1" applyFill="1"/>
    <xf numFmtId="37" fontId="88" fillId="27" borderId="0" xfId="276" applyNumberFormat="1" applyFont="1" applyFill="1"/>
    <xf numFmtId="37" fontId="0" fillId="0" borderId="0" xfId="311" applyNumberFormat="1" applyFont="1"/>
    <xf numFmtId="173" fontId="11" fillId="27" borderId="0" xfId="198" applyNumberFormat="1" applyFont="1" applyFill="1"/>
    <xf numFmtId="37" fontId="11" fillId="27" borderId="0" xfId="198" applyNumberFormat="1" applyFont="1" applyFill="1"/>
    <xf numFmtId="173" fontId="23" fillId="27" borderId="0" xfId="311" applyNumberFormat="1" applyFont="1" applyFill="1"/>
    <xf numFmtId="37" fontId="23" fillId="27" borderId="0" xfId="311" applyNumberFormat="1" applyFont="1" applyFill="1"/>
    <xf numFmtId="3" fontId="23" fillId="27" borderId="0" xfId="311" applyNumberFormat="1" applyFont="1" applyFill="1"/>
    <xf numFmtId="37" fontId="23" fillId="27" borderId="0" xfId="1183" applyNumberFormat="1" applyFont="1" applyFill="1"/>
    <xf numFmtId="173" fontId="23" fillId="27" borderId="0" xfId="1183" applyNumberFormat="1" applyFont="1" applyFill="1"/>
    <xf numFmtId="3" fontId="23" fillId="27" borderId="0" xfId="1183" applyNumberFormat="1" applyFont="1" applyFill="1"/>
    <xf numFmtId="10" fontId="23" fillId="27" borderId="0" xfId="899" applyNumberFormat="1" applyFont="1" applyFill="1"/>
    <xf numFmtId="173" fontId="0" fillId="27" borderId="0" xfId="0" applyNumberFormat="1" applyFill="1"/>
    <xf numFmtId="173" fontId="0" fillId="27" borderId="0" xfId="202" applyNumberFormat="1" applyFont="1" applyFill="1"/>
    <xf numFmtId="37" fontId="0" fillId="27" borderId="0" xfId="1533" applyNumberFormat="1" applyFont="1" applyFill="1"/>
    <xf numFmtId="37" fontId="88" fillId="27" borderId="0" xfId="1201" applyNumberFormat="1" applyFont="1" applyFill="1"/>
  </cellXfs>
  <cellStyles count="1564">
    <cellStyle name="_sHdrCenterAlign 2" xfId="1552" xr:uid="{00000000-0005-0000-0000-000000000000}"/>
    <cellStyle name="20% - Accent1" xfId="1" builtinId="30" customBuiltin="1"/>
    <cellStyle name="20% - Accent1 2" xfId="2" xr:uid="{00000000-0005-0000-0000-000002000000}"/>
    <cellStyle name="20% - Accent1 2 2" xfId="3" xr:uid="{00000000-0005-0000-0000-000003000000}"/>
    <cellStyle name="20% - Accent1 2 2 2" xfId="1217" xr:uid="{00000000-0005-0000-0000-000004000000}"/>
    <cellStyle name="20% - Accent1 2 2 3" xfId="1216" xr:uid="{00000000-0005-0000-0000-000005000000}"/>
    <cellStyle name="20% - Accent1 2 3" xfId="4" xr:uid="{00000000-0005-0000-0000-000006000000}"/>
    <cellStyle name="20% - Accent1 2 3 2" xfId="1218" xr:uid="{00000000-0005-0000-0000-000007000000}"/>
    <cellStyle name="20% - Accent1 2 4" xfId="5" xr:uid="{00000000-0005-0000-0000-000008000000}"/>
    <cellStyle name="20% - Accent1 2 5" xfId="6" xr:uid="{00000000-0005-0000-0000-000009000000}"/>
    <cellStyle name="20% - Accent1 2 6" xfId="1215" xr:uid="{00000000-0005-0000-0000-00000A000000}"/>
    <cellStyle name="20% - Accent1 3" xfId="1219" xr:uid="{00000000-0005-0000-0000-00000B000000}"/>
    <cellStyle name="20% - Accent1 3 2" xfId="1220" xr:uid="{00000000-0005-0000-0000-00000C000000}"/>
    <cellStyle name="20% - Accent1 3 2 2" xfId="1221" xr:uid="{00000000-0005-0000-0000-00000D000000}"/>
    <cellStyle name="20% - Accent1 3 3" xfId="1222" xr:uid="{00000000-0005-0000-0000-00000E000000}"/>
    <cellStyle name="20% - Accent1 4" xfId="1223" xr:uid="{00000000-0005-0000-0000-00000F000000}"/>
    <cellStyle name="20% - Accent1 5" xfId="1452" xr:uid="{00000000-0005-0000-0000-000010000000}"/>
    <cellStyle name="20% - Accent1 6" xfId="1187" xr:uid="{00000000-0005-0000-0000-000011000000}"/>
    <cellStyle name="20% - Accent2" xfId="7" builtinId="34" customBuiltin="1"/>
    <cellStyle name="20% - Accent2 2" xfId="8" xr:uid="{00000000-0005-0000-0000-000013000000}"/>
    <cellStyle name="20% - Accent2 2 2" xfId="9" xr:uid="{00000000-0005-0000-0000-000014000000}"/>
    <cellStyle name="20% - Accent2 2 2 2" xfId="1224" xr:uid="{00000000-0005-0000-0000-000015000000}"/>
    <cellStyle name="20% - Accent2 2 3" xfId="10" xr:uid="{00000000-0005-0000-0000-000016000000}"/>
    <cellStyle name="20% - Accent2 2 3 2" xfId="1225" xr:uid="{00000000-0005-0000-0000-000017000000}"/>
    <cellStyle name="20% - Accent2 2 4" xfId="11" xr:uid="{00000000-0005-0000-0000-000018000000}"/>
    <cellStyle name="20% - Accent2 2 5" xfId="12" xr:uid="{00000000-0005-0000-0000-000019000000}"/>
    <cellStyle name="20% - Accent2 3" xfId="1226" xr:uid="{00000000-0005-0000-0000-00001A000000}"/>
    <cellStyle name="20% - Accent2 4" xfId="1453" xr:uid="{00000000-0005-0000-0000-00001B000000}"/>
    <cellStyle name="20% - Accent2 5" xfId="1189" xr:uid="{00000000-0005-0000-0000-00001C000000}"/>
    <cellStyle name="20% - Accent3" xfId="13" builtinId="38" customBuiltin="1"/>
    <cellStyle name="20% - Accent3 2" xfId="14" xr:uid="{00000000-0005-0000-0000-00001E000000}"/>
    <cellStyle name="20% - Accent3 2 2" xfId="15" xr:uid="{00000000-0005-0000-0000-00001F000000}"/>
    <cellStyle name="20% - Accent3 2 2 2" xfId="1229" xr:uid="{00000000-0005-0000-0000-000020000000}"/>
    <cellStyle name="20% - Accent3 2 2 3" xfId="1228" xr:uid="{00000000-0005-0000-0000-000021000000}"/>
    <cellStyle name="20% - Accent3 2 3" xfId="16" xr:uid="{00000000-0005-0000-0000-000022000000}"/>
    <cellStyle name="20% - Accent3 2 3 2" xfId="1230" xr:uid="{00000000-0005-0000-0000-000023000000}"/>
    <cellStyle name="20% - Accent3 2 4" xfId="17" xr:uid="{00000000-0005-0000-0000-000024000000}"/>
    <cellStyle name="20% - Accent3 2 5" xfId="18" xr:uid="{00000000-0005-0000-0000-000025000000}"/>
    <cellStyle name="20% - Accent3 2 6" xfId="1227" xr:uid="{00000000-0005-0000-0000-000026000000}"/>
    <cellStyle name="20% - Accent3 3" xfId="1231" xr:uid="{00000000-0005-0000-0000-000027000000}"/>
    <cellStyle name="20% - Accent3 3 2" xfId="1232" xr:uid="{00000000-0005-0000-0000-000028000000}"/>
    <cellStyle name="20% - Accent3 3 2 2" xfId="1233" xr:uid="{00000000-0005-0000-0000-000029000000}"/>
    <cellStyle name="20% - Accent3 3 3" xfId="1234" xr:uid="{00000000-0005-0000-0000-00002A000000}"/>
    <cellStyle name="20% - Accent3 4" xfId="1235" xr:uid="{00000000-0005-0000-0000-00002B000000}"/>
    <cellStyle name="20% - Accent3 5" xfId="1454" xr:uid="{00000000-0005-0000-0000-00002C000000}"/>
    <cellStyle name="20% - Accent3 6" xfId="1191" xr:uid="{00000000-0005-0000-0000-00002D000000}"/>
    <cellStyle name="20% - Accent4" xfId="19" builtinId="42" customBuiltin="1"/>
    <cellStyle name="20% - Accent4 2" xfId="20" xr:uid="{00000000-0005-0000-0000-00002F000000}"/>
    <cellStyle name="20% - Accent4 2 2" xfId="21" xr:uid="{00000000-0005-0000-0000-000030000000}"/>
    <cellStyle name="20% - Accent4 2 2 2" xfId="1238" xr:uid="{00000000-0005-0000-0000-000031000000}"/>
    <cellStyle name="20% - Accent4 2 2 3" xfId="1237" xr:uid="{00000000-0005-0000-0000-000032000000}"/>
    <cellStyle name="20% - Accent4 2 3" xfId="22" xr:uid="{00000000-0005-0000-0000-000033000000}"/>
    <cellStyle name="20% - Accent4 2 3 2" xfId="1239" xr:uid="{00000000-0005-0000-0000-000034000000}"/>
    <cellStyle name="20% - Accent4 2 4" xfId="23" xr:uid="{00000000-0005-0000-0000-000035000000}"/>
    <cellStyle name="20% - Accent4 2 5" xfId="24" xr:uid="{00000000-0005-0000-0000-000036000000}"/>
    <cellStyle name="20% - Accent4 2 6" xfId="1236" xr:uid="{00000000-0005-0000-0000-000037000000}"/>
    <cellStyle name="20% - Accent4 3" xfId="1240" xr:uid="{00000000-0005-0000-0000-000038000000}"/>
    <cellStyle name="20% - Accent4 3 2" xfId="1241" xr:uid="{00000000-0005-0000-0000-000039000000}"/>
    <cellStyle name="20% - Accent4 3 2 2" xfId="1242" xr:uid="{00000000-0005-0000-0000-00003A000000}"/>
    <cellStyle name="20% - Accent4 3 3" xfId="1243" xr:uid="{00000000-0005-0000-0000-00003B000000}"/>
    <cellStyle name="20% - Accent4 4" xfId="1244" xr:uid="{00000000-0005-0000-0000-00003C000000}"/>
    <cellStyle name="20% - Accent4 5" xfId="1455" xr:uid="{00000000-0005-0000-0000-00003D000000}"/>
    <cellStyle name="20% - Accent4 6" xfId="1193" xr:uid="{00000000-0005-0000-0000-00003E000000}"/>
    <cellStyle name="20% - Accent5" xfId="25" builtinId="46" customBuiltin="1"/>
    <cellStyle name="20% - Accent5 2" xfId="26" xr:uid="{00000000-0005-0000-0000-000040000000}"/>
    <cellStyle name="20% - Accent5 2 2" xfId="27" xr:uid="{00000000-0005-0000-0000-000041000000}"/>
    <cellStyle name="20% - Accent5 2 2 2" xfId="1245" xr:uid="{00000000-0005-0000-0000-000042000000}"/>
    <cellStyle name="20% - Accent5 2 3" xfId="28" xr:uid="{00000000-0005-0000-0000-000043000000}"/>
    <cellStyle name="20% - Accent5 2 3 2" xfId="1246" xr:uid="{00000000-0005-0000-0000-000044000000}"/>
    <cellStyle name="20% - Accent5 2 4" xfId="29" xr:uid="{00000000-0005-0000-0000-000045000000}"/>
    <cellStyle name="20% - Accent5 2 5" xfId="30" xr:uid="{00000000-0005-0000-0000-000046000000}"/>
    <cellStyle name="20% - Accent5 3" xfId="1247" xr:uid="{00000000-0005-0000-0000-000047000000}"/>
    <cellStyle name="20% - Accent5 4" xfId="1456" xr:uid="{00000000-0005-0000-0000-000048000000}"/>
    <cellStyle name="20% - Accent5 5" xfId="1195" xr:uid="{00000000-0005-0000-0000-000049000000}"/>
    <cellStyle name="20% - Accent6" xfId="31" builtinId="50" customBuiltin="1"/>
    <cellStyle name="20% - Accent6 2" xfId="32" xr:uid="{00000000-0005-0000-0000-00004B000000}"/>
    <cellStyle name="20% - Accent6 2 2" xfId="33" xr:uid="{00000000-0005-0000-0000-00004C000000}"/>
    <cellStyle name="20% - Accent6 2 2 2" xfId="1248" xr:uid="{00000000-0005-0000-0000-00004D000000}"/>
    <cellStyle name="20% - Accent6 2 3" xfId="34" xr:uid="{00000000-0005-0000-0000-00004E000000}"/>
    <cellStyle name="20% - Accent6 2 3 2" xfId="1249" xr:uid="{00000000-0005-0000-0000-00004F000000}"/>
    <cellStyle name="20% - Accent6 2 4" xfId="35" xr:uid="{00000000-0005-0000-0000-000050000000}"/>
    <cellStyle name="20% - Accent6 2 5" xfId="36" xr:uid="{00000000-0005-0000-0000-000051000000}"/>
    <cellStyle name="20% - Accent6 3" xfId="1250" xr:uid="{00000000-0005-0000-0000-000052000000}"/>
    <cellStyle name="20% - Accent6 4" xfId="1457" xr:uid="{00000000-0005-0000-0000-000053000000}"/>
    <cellStyle name="20% - Accent6 5" xfId="1197" xr:uid="{00000000-0005-0000-0000-000054000000}"/>
    <cellStyle name="40% - Accent1" xfId="37" builtinId="31" customBuiltin="1"/>
    <cellStyle name="40% - Accent1 2" xfId="38" xr:uid="{00000000-0005-0000-0000-000056000000}"/>
    <cellStyle name="40% - Accent1 2 2" xfId="39" xr:uid="{00000000-0005-0000-0000-000057000000}"/>
    <cellStyle name="40% - Accent1 2 2 2" xfId="1253" xr:uid="{00000000-0005-0000-0000-000058000000}"/>
    <cellStyle name="40% - Accent1 2 2 3" xfId="1252" xr:uid="{00000000-0005-0000-0000-000059000000}"/>
    <cellStyle name="40% - Accent1 2 3" xfId="40" xr:uid="{00000000-0005-0000-0000-00005A000000}"/>
    <cellStyle name="40% - Accent1 2 3 2" xfId="1254" xr:uid="{00000000-0005-0000-0000-00005B000000}"/>
    <cellStyle name="40% - Accent1 2 4" xfId="41" xr:uid="{00000000-0005-0000-0000-00005C000000}"/>
    <cellStyle name="40% - Accent1 2 5" xfId="42" xr:uid="{00000000-0005-0000-0000-00005D000000}"/>
    <cellStyle name="40% - Accent1 2 6" xfId="1251" xr:uid="{00000000-0005-0000-0000-00005E000000}"/>
    <cellStyle name="40% - Accent1 3" xfId="1255" xr:uid="{00000000-0005-0000-0000-00005F000000}"/>
    <cellStyle name="40% - Accent1 3 2" xfId="1256" xr:uid="{00000000-0005-0000-0000-000060000000}"/>
    <cellStyle name="40% - Accent1 3 2 2" xfId="1257" xr:uid="{00000000-0005-0000-0000-000061000000}"/>
    <cellStyle name="40% - Accent1 3 3" xfId="1258" xr:uid="{00000000-0005-0000-0000-000062000000}"/>
    <cellStyle name="40% - Accent1 4" xfId="1259" xr:uid="{00000000-0005-0000-0000-000063000000}"/>
    <cellStyle name="40% - Accent1 5" xfId="1458" xr:uid="{00000000-0005-0000-0000-000064000000}"/>
    <cellStyle name="40% - Accent1 6" xfId="1188" xr:uid="{00000000-0005-0000-0000-000065000000}"/>
    <cellStyle name="40% - Accent2" xfId="43" builtinId="35" customBuiltin="1"/>
    <cellStyle name="40% - Accent2 2" xfId="44" xr:uid="{00000000-0005-0000-0000-000067000000}"/>
    <cellStyle name="40% - Accent2 2 2" xfId="45" xr:uid="{00000000-0005-0000-0000-000068000000}"/>
    <cellStyle name="40% - Accent2 2 2 2" xfId="1260" xr:uid="{00000000-0005-0000-0000-000069000000}"/>
    <cellStyle name="40% - Accent2 2 3" xfId="46" xr:uid="{00000000-0005-0000-0000-00006A000000}"/>
    <cellStyle name="40% - Accent2 2 3 2" xfId="1261" xr:uid="{00000000-0005-0000-0000-00006B000000}"/>
    <cellStyle name="40% - Accent2 2 4" xfId="47" xr:uid="{00000000-0005-0000-0000-00006C000000}"/>
    <cellStyle name="40% - Accent2 2 5" xfId="48" xr:uid="{00000000-0005-0000-0000-00006D000000}"/>
    <cellStyle name="40% - Accent2 3" xfId="1262" xr:uid="{00000000-0005-0000-0000-00006E000000}"/>
    <cellStyle name="40% - Accent2 4" xfId="1459" xr:uid="{00000000-0005-0000-0000-00006F000000}"/>
    <cellStyle name="40% - Accent2 5" xfId="1190" xr:uid="{00000000-0005-0000-0000-000070000000}"/>
    <cellStyle name="40% - Accent3" xfId="49" builtinId="39" customBuiltin="1"/>
    <cellStyle name="40% - Accent3 2" xfId="50" xr:uid="{00000000-0005-0000-0000-000072000000}"/>
    <cellStyle name="40% - Accent3 2 2" xfId="51" xr:uid="{00000000-0005-0000-0000-000073000000}"/>
    <cellStyle name="40% - Accent3 2 2 2" xfId="1265" xr:uid="{00000000-0005-0000-0000-000074000000}"/>
    <cellStyle name="40% - Accent3 2 2 3" xfId="1264" xr:uid="{00000000-0005-0000-0000-000075000000}"/>
    <cellStyle name="40% - Accent3 2 3" xfId="52" xr:uid="{00000000-0005-0000-0000-000076000000}"/>
    <cellStyle name="40% - Accent3 2 3 2" xfId="1266" xr:uid="{00000000-0005-0000-0000-000077000000}"/>
    <cellStyle name="40% - Accent3 2 4" xfId="53" xr:uid="{00000000-0005-0000-0000-000078000000}"/>
    <cellStyle name="40% - Accent3 2 5" xfId="54" xr:uid="{00000000-0005-0000-0000-000079000000}"/>
    <cellStyle name="40% - Accent3 2 6" xfId="1263" xr:uid="{00000000-0005-0000-0000-00007A000000}"/>
    <cellStyle name="40% - Accent3 3" xfId="1267" xr:uid="{00000000-0005-0000-0000-00007B000000}"/>
    <cellStyle name="40% - Accent3 3 2" xfId="1268" xr:uid="{00000000-0005-0000-0000-00007C000000}"/>
    <cellStyle name="40% - Accent3 3 2 2" xfId="1269" xr:uid="{00000000-0005-0000-0000-00007D000000}"/>
    <cellStyle name="40% - Accent3 3 3" xfId="1270" xr:uid="{00000000-0005-0000-0000-00007E000000}"/>
    <cellStyle name="40% - Accent3 4" xfId="1271" xr:uid="{00000000-0005-0000-0000-00007F000000}"/>
    <cellStyle name="40% - Accent3 5" xfId="1460" xr:uid="{00000000-0005-0000-0000-000080000000}"/>
    <cellStyle name="40% - Accent3 6" xfId="1192" xr:uid="{00000000-0005-0000-0000-000081000000}"/>
    <cellStyle name="40% - Accent4" xfId="55" builtinId="43" customBuiltin="1"/>
    <cellStyle name="40% - Accent4 2" xfId="56" xr:uid="{00000000-0005-0000-0000-000083000000}"/>
    <cellStyle name="40% - Accent4 2 2" xfId="57" xr:uid="{00000000-0005-0000-0000-000084000000}"/>
    <cellStyle name="40% - Accent4 2 2 2" xfId="1274" xr:uid="{00000000-0005-0000-0000-000085000000}"/>
    <cellStyle name="40% - Accent4 2 2 3" xfId="1273" xr:uid="{00000000-0005-0000-0000-000086000000}"/>
    <cellStyle name="40% - Accent4 2 3" xfId="58" xr:uid="{00000000-0005-0000-0000-000087000000}"/>
    <cellStyle name="40% - Accent4 2 3 2" xfId="1275" xr:uid="{00000000-0005-0000-0000-000088000000}"/>
    <cellStyle name="40% - Accent4 2 4" xfId="59" xr:uid="{00000000-0005-0000-0000-000089000000}"/>
    <cellStyle name="40% - Accent4 2 5" xfId="60" xr:uid="{00000000-0005-0000-0000-00008A000000}"/>
    <cellStyle name="40% - Accent4 2 6" xfId="1272" xr:uid="{00000000-0005-0000-0000-00008B000000}"/>
    <cellStyle name="40% - Accent4 3" xfId="1276" xr:uid="{00000000-0005-0000-0000-00008C000000}"/>
    <cellStyle name="40% - Accent4 3 2" xfId="1277" xr:uid="{00000000-0005-0000-0000-00008D000000}"/>
    <cellStyle name="40% - Accent4 3 2 2" xfId="1278" xr:uid="{00000000-0005-0000-0000-00008E000000}"/>
    <cellStyle name="40% - Accent4 3 3" xfId="1279" xr:uid="{00000000-0005-0000-0000-00008F000000}"/>
    <cellStyle name="40% - Accent4 4" xfId="1280" xr:uid="{00000000-0005-0000-0000-000090000000}"/>
    <cellStyle name="40% - Accent4 5" xfId="1461" xr:uid="{00000000-0005-0000-0000-000091000000}"/>
    <cellStyle name="40% - Accent4 6" xfId="1194" xr:uid="{00000000-0005-0000-0000-000092000000}"/>
    <cellStyle name="40% - Accent5" xfId="61" builtinId="47" customBuiltin="1"/>
    <cellStyle name="40% - Accent5 2" xfId="62" xr:uid="{00000000-0005-0000-0000-000094000000}"/>
    <cellStyle name="40% - Accent5 2 2" xfId="63" xr:uid="{00000000-0005-0000-0000-000095000000}"/>
    <cellStyle name="40% - Accent5 2 2 2" xfId="1281" xr:uid="{00000000-0005-0000-0000-000096000000}"/>
    <cellStyle name="40% - Accent5 2 3" xfId="64" xr:uid="{00000000-0005-0000-0000-000097000000}"/>
    <cellStyle name="40% - Accent5 2 3 2" xfId="1282" xr:uid="{00000000-0005-0000-0000-000098000000}"/>
    <cellStyle name="40% - Accent5 2 4" xfId="65" xr:uid="{00000000-0005-0000-0000-000099000000}"/>
    <cellStyle name="40% - Accent5 2 5" xfId="66" xr:uid="{00000000-0005-0000-0000-00009A000000}"/>
    <cellStyle name="40% - Accent5 3" xfId="1283" xr:uid="{00000000-0005-0000-0000-00009B000000}"/>
    <cellStyle name="40% - Accent5 4" xfId="1462" xr:uid="{00000000-0005-0000-0000-00009C000000}"/>
    <cellStyle name="40% - Accent5 5" xfId="1196" xr:uid="{00000000-0005-0000-0000-00009D000000}"/>
    <cellStyle name="40% - Accent6" xfId="67" builtinId="51" customBuiltin="1"/>
    <cellStyle name="40% - Accent6 2" xfId="68" xr:uid="{00000000-0005-0000-0000-00009F000000}"/>
    <cellStyle name="40% - Accent6 2 2" xfId="69" xr:uid="{00000000-0005-0000-0000-0000A0000000}"/>
    <cellStyle name="40% - Accent6 2 2 2" xfId="1286" xr:uid="{00000000-0005-0000-0000-0000A1000000}"/>
    <cellStyle name="40% - Accent6 2 2 3" xfId="1285" xr:uid="{00000000-0005-0000-0000-0000A2000000}"/>
    <cellStyle name="40% - Accent6 2 3" xfId="70" xr:uid="{00000000-0005-0000-0000-0000A3000000}"/>
    <cellStyle name="40% - Accent6 2 3 2" xfId="1287" xr:uid="{00000000-0005-0000-0000-0000A4000000}"/>
    <cellStyle name="40% - Accent6 2 4" xfId="71" xr:uid="{00000000-0005-0000-0000-0000A5000000}"/>
    <cellStyle name="40% - Accent6 2 5" xfId="72" xr:uid="{00000000-0005-0000-0000-0000A6000000}"/>
    <cellStyle name="40% - Accent6 2 6" xfId="1284" xr:uid="{00000000-0005-0000-0000-0000A7000000}"/>
    <cellStyle name="40% - Accent6 3" xfId="1288" xr:uid="{00000000-0005-0000-0000-0000A8000000}"/>
    <cellStyle name="40% - Accent6 3 2" xfId="1289" xr:uid="{00000000-0005-0000-0000-0000A9000000}"/>
    <cellStyle name="40% - Accent6 3 2 2" xfId="1290" xr:uid="{00000000-0005-0000-0000-0000AA000000}"/>
    <cellStyle name="40% - Accent6 3 3" xfId="1291" xr:uid="{00000000-0005-0000-0000-0000AB000000}"/>
    <cellStyle name="40% - Accent6 4" xfId="1292" xr:uid="{00000000-0005-0000-0000-0000AC000000}"/>
    <cellStyle name="40% - Accent6 5" xfId="1463" xr:uid="{00000000-0005-0000-0000-0000AD000000}"/>
    <cellStyle name="40% - Accent6 6" xfId="1198" xr:uid="{00000000-0005-0000-0000-0000AE000000}"/>
    <cellStyle name="60% - Accent1" xfId="73" builtinId="32" customBuiltin="1"/>
    <cellStyle name="60% - Accent1 2" xfId="74" xr:uid="{00000000-0005-0000-0000-0000B0000000}"/>
    <cellStyle name="60% - Accent1 2 2" xfId="75" xr:uid="{00000000-0005-0000-0000-0000B1000000}"/>
    <cellStyle name="60% - Accent1 2 3" xfId="76" xr:uid="{00000000-0005-0000-0000-0000B2000000}"/>
    <cellStyle name="60% - Accent1 2 4" xfId="77" xr:uid="{00000000-0005-0000-0000-0000B3000000}"/>
    <cellStyle name="60% - Accent1 2 5" xfId="78" xr:uid="{00000000-0005-0000-0000-0000B4000000}"/>
    <cellStyle name="60% - Accent1 2 6" xfId="1293" xr:uid="{00000000-0005-0000-0000-0000B5000000}"/>
    <cellStyle name="60% - Accent1 3" xfId="1294" xr:uid="{00000000-0005-0000-0000-0000B6000000}"/>
    <cellStyle name="60% - Accent1 4" xfId="1295" xr:uid="{00000000-0005-0000-0000-0000B7000000}"/>
    <cellStyle name="60% - Accent1 5" xfId="1507" xr:uid="{00000000-0005-0000-0000-0000B8000000}"/>
    <cellStyle name="60% - Accent2" xfId="79" builtinId="36" customBuiltin="1"/>
    <cellStyle name="60% - Accent2 2" xfId="80" xr:uid="{00000000-0005-0000-0000-0000BA000000}"/>
    <cellStyle name="60% - Accent2 2 2" xfId="81" xr:uid="{00000000-0005-0000-0000-0000BB000000}"/>
    <cellStyle name="60% - Accent2 2 3" xfId="82" xr:uid="{00000000-0005-0000-0000-0000BC000000}"/>
    <cellStyle name="60% - Accent2 2 4" xfId="83" xr:uid="{00000000-0005-0000-0000-0000BD000000}"/>
    <cellStyle name="60% - Accent2 2 5" xfId="84" xr:uid="{00000000-0005-0000-0000-0000BE000000}"/>
    <cellStyle name="60% - Accent2 3" xfId="1296" xr:uid="{00000000-0005-0000-0000-0000BF000000}"/>
    <cellStyle name="60% - Accent2 4" xfId="1464" xr:uid="{00000000-0005-0000-0000-0000C0000000}"/>
    <cellStyle name="60% - Accent3" xfId="85" builtinId="40" customBuiltin="1"/>
    <cellStyle name="60% - Accent3 2" xfId="86" xr:uid="{00000000-0005-0000-0000-0000C2000000}"/>
    <cellStyle name="60% - Accent3 2 2" xfId="87" xr:uid="{00000000-0005-0000-0000-0000C3000000}"/>
    <cellStyle name="60% - Accent3 2 3" xfId="88" xr:uid="{00000000-0005-0000-0000-0000C4000000}"/>
    <cellStyle name="60% - Accent3 2 4" xfId="89" xr:uid="{00000000-0005-0000-0000-0000C5000000}"/>
    <cellStyle name="60% - Accent3 2 5" xfId="90" xr:uid="{00000000-0005-0000-0000-0000C6000000}"/>
    <cellStyle name="60% - Accent3 2 6" xfId="1297" xr:uid="{00000000-0005-0000-0000-0000C7000000}"/>
    <cellStyle name="60% - Accent3 3" xfId="1298" xr:uid="{00000000-0005-0000-0000-0000C8000000}"/>
    <cellStyle name="60% - Accent3 4" xfId="1299" xr:uid="{00000000-0005-0000-0000-0000C9000000}"/>
    <cellStyle name="60% - Accent3 5" xfId="1465" xr:uid="{00000000-0005-0000-0000-0000CA000000}"/>
    <cellStyle name="60% - Accent4" xfId="91" builtinId="44" customBuiltin="1"/>
    <cellStyle name="60% - Accent4 2" xfId="92" xr:uid="{00000000-0005-0000-0000-0000CC000000}"/>
    <cellStyle name="60% - Accent4 2 2" xfId="93" xr:uid="{00000000-0005-0000-0000-0000CD000000}"/>
    <cellStyle name="60% - Accent4 2 3" xfId="94" xr:uid="{00000000-0005-0000-0000-0000CE000000}"/>
    <cellStyle name="60% - Accent4 2 4" xfId="95" xr:uid="{00000000-0005-0000-0000-0000CF000000}"/>
    <cellStyle name="60% - Accent4 2 5" xfId="96" xr:uid="{00000000-0005-0000-0000-0000D0000000}"/>
    <cellStyle name="60% - Accent4 2 6" xfId="1300" xr:uid="{00000000-0005-0000-0000-0000D1000000}"/>
    <cellStyle name="60% - Accent4 3" xfId="1301" xr:uid="{00000000-0005-0000-0000-0000D2000000}"/>
    <cellStyle name="60% - Accent4 4" xfId="1302" xr:uid="{00000000-0005-0000-0000-0000D3000000}"/>
    <cellStyle name="60% - Accent4 5" xfId="1466" xr:uid="{00000000-0005-0000-0000-0000D4000000}"/>
    <cellStyle name="60% - Accent5" xfId="97" builtinId="48" customBuiltin="1"/>
    <cellStyle name="60% - Accent5 2" xfId="98" xr:uid="{00000000-0005-0000-0000-0000D6000000}"/>
    <cellStyle name="60% - Accent5 2 2" xfId="99" xr:uid="{00000000-0005-0000-0000-0000D7000000}"/>
    <cellStyle name="60% - Accent5 2 3" xfId="100" xr:uid="{00000000-0005-0000-0000-0000D8000000}"/>
    <cellStyle name="60% - Accent5 2 4" xfId="101" xr:uid="{00000000-0005-0000-0000-0000D9000000}"/>
    <cellStyle name="60% - Accent5 2 5" xfId="102" xr:uid="{00000000-0005-0000-0000-0000DA000000}"/>
    <cellStyle name="60% - Accent5 3" xfId="1303" xr:uid="{00000000-0005-0000-0000-0000DB000000}"/>
    <cellStyle name="60% - Accent5 4" xfId="1467" xr:uid="{00000000-0005-0000-0000-0000DC000000}"/>
    <cellStyle name="60% - Accent6" xfId="103" builtinId="52" customBuiltin="1"/>
    <cellStyle name="60% - Accent6 2" xfId="104" xr:uid="{00000000-0005-0000-0000-0000DE000000}"/>
    <cellStyle name="60% - Accent6 2 2" xfId="105" xr:uid="{00000000-0005-0000-0000-0000DF000000}"/>
    <cellStyle name="60% - Accent6 2 3" xfId="106" xr:uid="{00000000-0005-0000-0000-0000E0000000}"/>
    <cellStyle name="60% - Accent6 2 4" xfId="107" xr:uid="{00000000-0005-0000-0000-0000E1000000}"/>
    <cellStyle name="60% - Accent6 2 5" xfId="108" xr:uid="{00000000-0005-0000-0000-0000E2000000}"/>
    <cellStyle name="60% - Accent6 2 6" xfId="1304" xr:uid="{00000000-0005-0000-0000-0000E3000000}"/>
    <cellStyle name="60% - Accent6 3" xfId="1305" xr:uid="{00000000-0005-0000-0000-0000E4000000}"/>
    <cellStyle name="60% - Accent6 4" xfId="1306" xr:uid="{00000000-0005-0000-0000-0000E5000000}"/>
    <cellStyle name="60% - Accent6 5" xfId="1468" xr:uid="{00000000-0005-0000-0000-0000E6000000}"/>
    <cellStyle name="Accent1" xfId="109" builtinId="29" customBuiltin="1"/>
    <cellStyle name="Accent1 2" xfId="110" xr:uid="{00000000-0005-0000-0000-0000E8000000}"/>
    <cellStyle name="Accent1 2 2" xfId="111" xr:uid="{00000000-0005-0000-0000-0000E9000000}"/>
    <cellStyle name="Accent1 2 3" xfId="112" xr:uid="{00000000-0005-0000-0000-0000EA000000}"/>
    <cellStyle name="Accent1 2 4" xfId="113" xr:uid="{00000000-0005-0000-0000-0000EB000000}"/>
    <cellStyle name="Accent1 2 5" xfId="114" xr:uid="{00000000-0005-0000-0000-0000EC000000}"/>
    <cellStyle name="Accent1 2 6" xfId="1307" xr:uid="{00000000-0005-0000-0000-0000ED000000}"/>
    <cellStyle name="Accent1 3" xfId="1308" xr:uid="{00000000-0005-0000-0000-0000EE000000}"/>
    <cellStyle name="Accent1 4" xfId="1309" xr:uid="{00000000-0005-0000-0000-0000EF000000}"/>
    <cellStyle name="Accent1 5" xfId="1469" xr:uid="{00000000-0005-0000-0000-0000F0000000}"/>
    <cellStyle name="Accent2" xfId="115" builtinId="33" customBuiltin="1"/>
    <cellStyle name="Accent2 2" xfId="116" xr:uid="{00000000-0005-0000-0000-0000F2000000}"/>
    <cellStyle name="Accent2 2 2" xfId="117" xr:uid="{00000000-0005-0000-0000-0000F3000000}"/>
    <cellStyle name="Accent2 2 3" xfId="118" xr:uid="{00000000-0005-0000-0000-0000F4000000}"/>
    <cellStyle name="Accent2 2 4" xfId="119" xr:uid="{00000000-0005-0000-0000-0000F5000000}"/>
    <cellStyle name="Accent2 2 5" xfId="120" xr:uid="{00000000-0005-0000-0000-0000F6000000}"/>
    <cellStyle name="Accent2 3" xfId="1310" xr:uid="{00000000-0005-0000-0000-0000F7000000}"/>
    <cellStyle name="Accent2 4" xfId="1470" xr:uid="{00000000-0005-0000-0000-0000F8000000}"/>
    <cellStyle name="Accent3" xfId="121" builtinId="37" customBuiltin="1"/>
    <cellStyle name="Accent3 2" xfId="122" xr:uid="{00000000-0005-0000-0000-0000FA000000}"/>
    <cellStyle name="Accent3 2 2" xfId="123" xr:uid="{00000000-0005-0000-0000-0000FB000000}"/>
    <cellStyle name="Accent3 2 3" xfId="124" xr:uid="{00000000-0005-0000-0000-0000FC000000}"/>
    <cellStyle name="Accent3 2 4" xfId="125" xr:uid="{00000000-0005-0000-0000-0000FD000000}"/>
    <cellStyle name="Accent3 2 5" xfId="126" xr:uid="{00000000-0005-0000-0000-0000FE000000}"/>
    <cellStyle name="Accent3 3" xfId="1311" xr:uid="{00000000-0005-0000-0000-0000FF000000}"/>
    <cellStyle name="Accent3 4" xfId="1471" xr:uid="{00000000-0005-0000-0000-000000010000}"/>
    <cellStyle name="Accent4" xfId="127" builtinId="41" customBuiltin="1"/>
    <cellStyle name="Accent4 2" xfId="128" xr:uid="{00000000-0005-0000-0000-000002010000}"/>
    <cellStyle name="Accent4 2 2" xfId="129" xr:uid="{00000000-0005-0000-0000-000003010000}"/>
    <cellStyle name="Accent4 2 3" xfId="130" xr:uid="{00000000-0005-0000-0000-000004010000}"/>
    <cellStyle name="Accent4 2 4" xfId="131" xr:uid="{00000000-0005-0000-0000-000005010000}"/>
    <cellStyle name="Accent4 2 5" xfId="132" xr:uid="{00000000-0005-0000-0000-000006010000}"/>
    <cellStyle name="Accent4 2 6" xfId="1312" xr:uid="{00000000-0005-0000-0000-000007010000}"/>
    <cellStyle name="Accent4 3" xfId="1313" xr:uid="{00000000-0005-0000-0000-000008010000}"/>
    <cellStyle name="Accent4 4" xfId="1314" xr:uid="{00000000-0005-0000-0000-000009010000}"/>
    <cellStyle name="Accent4 5" xfId="1472" xr:uid="{00000000-0005-0000-0000-00000A010000}"/>
    <cellStyle name="Accent5" xfId="133" builtinId="45" customBuiltin="1"/>
    <cellStyle name="Accent5 2" xfId="134" xr:uid="{00000000-0005-0000-0000-00000C010000}"/>
    <cellStyle name="Accent5 2 2" xfId="135" xr:uid="{00000000-0005-0000-0000-00000D010000}"/>
    <cellStyle name="Accent5 2 3" xfId="136" xr:uid="{00000000-0005-0000-0000-00000E010000}"/>
    <cellStyle name="Accent5 2 4" xfId="137" xr:uid="{00000000-0005-0000-0000-00000F010000}"/>
    <cellStyle name="Accent5 2 5" xfId="138" xr:uid="{00000000-0005-0000-0000-000010010000}"/>
    <cellStyle name="Accent5 3" xfId="1315" xr:uid="{00000000-0005-0000-0000-000011010000}"/>
    <cellStyle name="Accent5 4" xfId="1473" xr:uid="{00000000-0005-0000-0000-000012010000}"/>
    <cellStyle name="Accent6" xfId="139" builtinId="49" customBuiltin="1"/>
    <cellStyle name="Accent6 2" xfId="140" xr:uid="{00000000-0005-0000-0000-000014010000}"/>
    <cellStyle name="Accent6 2 2" xfId="141" xr:uid="{00000000-0005-0000-0000-000015010000}"/>
    <cellStyle name="Accent6 2 3" xfId="142" xr:uid="{00000000-0005-0000-0000-000016010000}"/>
    <cellStyle name="Accent6 2 4" xfId="143" xr:uid="{00000000-0005-0000-0000-000017010000}"/>
    <cellStyle name="Accent6 2 5" xfId="144" xr:uid="{00000000-0005-0000-0000-000018010000}"/>
    <cellStyle name="Accent6 3" xfId="1316" xr:uid="{00000000-0005-0000-0000-000019010000}"/>
    <cellStyle name="Accent6 4" xfId="1474" xr:uid="{00000000-0005-0000-0000-00001A010000}"/>
    <cellStyle name="Bad" xfId="145" builtinId="27" customBuiltin="1"/>
    <cellStyle name="Bad 2" xfId="146" xr:uid="{00000000-0005-0000-0000-00001C010000}"/>
    <cellStyle name="Bad 2 2" xfId="147" xr:uid="{00000000-0005-0000-0000-00001D010000}"/>
    <cellStyle name="Bad 2 3" xfId="148" xr:uid="{00000000-0005-0000-0000-00001E010000}"/>
    <cellStyle name="Bad 2 4" xfId="149" xr:uid="{00000000-0005-0000-0000-00001F010000}"/>
    <cellStyle name="Bad 2 5" xfId="150" xr:uid="{00000000-0005-0000-0000-000020010000}"/>
    <cellStyle name="Bad 2 6" xfId="1317" xr:uid="{00000000-0005-0000-0000-000021010000}"/>
    <cellStyle name="Bad 3" xfId="1318" xr:uid="{00000000-0005-0000-0000-000022010000}"/>
    <cellStyle name="Bad 4" xfId="1319" xr:uid="{00000000-0005-0000-0000-000023010000}"/>
    <cellStyle name="Bad 5" xfId="1475" xr:uid="{00000000-0005-0000-0000-000024010000}"/>
    <cellStyle name="C00A" xfId="151" xr:uid="{00000000-0005-0000-0000-000025010000}"/>
    <cellStyle name="C00B" xfId="152" xr:uid="{00000000-0005-0000-0000-000026010000}"/>
    <cellStyle name="C00L" xfId="153" xr:uid="{00000000-0005-0000-0000-000027010000}"/>
    <cellStyle name="C01A" xfId="154" xr:uid="{00000000-0005-0000-0000-000028010000}"/>
    <cellStyle name="C01B" xfId="155" xr:uid="{00000000-0005-0000-0000-000029010000}"/>
    <cellStyle name="C01B 2" xfId="156" xr:uid="{00000000-0005-0000-0000-00002A010000}"/>
    <cellStyle name="C01B 3" xfId="1476" xr:uid="{00000000-0005-0000-0000-00002B010000}"/>
    <cellStyle name="C01H" xfId="157" xr:uid="{00000000-0005-0000-0000-00002C010000}"/>
    <cellStyle name="C01L" xfId="158" xr:uid="{00000000-0005-0000-0000-00002D010000}"/>
    <cellStyle name="C02A" xfId="159" xr:uid="{00000000-0005-0000-0000-00002E010000}"/>
    <cellStyle name="C02B" xfId="160" xr:uid="{00000000-0005-0000-0000-00002F010000}"/>
    <cellStyle name="C02B 2" xfId="161" xr:uid="{00000000-0005-0000-0000-000030010000}"/>
    <cellStyle name="C02B 3" xfId="1477" xr:uid="{00000000-0005-0000-0000-000031010000}"/>
    <cellStyle name="C02H" xfId="162" xr:uid="{00000000-0005-0000-0000-000032010000}"/>
    <cellStyle name="C02L" xfId="163" xr:uid="{00000000-0005-0000-0000-000033010000}"/>
    <cellStyle name="C03A" xfId="164" xr:uid="{00000000-0005-0000-0000-000034010000}"/>
    <cellStyle name="C03B" xfId="165" xr:uid="{00000000-0005-0000-0000-000035010000}"/>
    <cellStyle name="C03H" xfId="166" xr:uid="{00000000-0005-0000-0000-000036010000}"/>
    <cellStyle name="C03L" xfId="167" xr:uid="{00000000-0005-0000-0000-000037010000}"/>
    <cellStyle name="C04A" xfId="168" xr:uid="{00000000-0005-0000-0000-000038010000}"/>
    <cellStyle name="C04A 2" xfId="169" xr:uid="{00000000-0005-0000-0000-000039010000}"/>
    <cellStyle name="C04A 3" xfId="1478" xr:uid="{00000000-0005-0000-0000-00003A010000}"/>
    <cellStyle name="C04B" xfId="170" xr:uid="{00000000-0005-0000-0000-00003B010000}"/>
    <cellStyle name="C04H" xfId="171" xr:uid="{00000000-0005-0000-0000-00003C010000}"/>
    <cellStyle name="C04L" xfId="172" xr:uid="{00000000-0005-0000-0000-00003D010000}"/>
    <cellStyle name="C05A" xfId="173" xr:uid="{00000000-0005-0000-0000-00003E010000}"/>
    <cellStyle name="C05B" xfId="174" xr:uid="{00000000-0005-0000-0000-00003F010000}"/>
    <cellStyle name="C05H" xfId="175" xr:uid="{00000000-0005-0000-0000-000040010000}"/>
    <cellStyle name="C05L" xfId="176" xr:uid="{00000000-0005-0000-0000-000041010000}"/>
    <cellStyle name="C05L 2" xfId="177" xr:uid="{00000000-0005-0000-0000-000042010000}"/>
    <cellStyle name="C05L 3" xfId="1479" xr:uid="{00000000-0005-0000-0000-000043010000}"/>
    <cellStyle name="C06A" xfId="178" xr:uid="{00000000-0005-0000-0000-000044010000}"/>
    <cellStyle name="C06B" xfId="179" xr:uid="{00000000-0005-0000-0000-000045010000}"/>
    <cellStyle name="C06H" xfId="180" xr:uid="{00000000-0005-0000-0000-000046010000}"/>
    <cellStyle name="C06L" xfId="181" xr:uid="{00000000-0005-0000-0000-000047010000}"/>
    <cellStyle name="C07A" xfId="182" xr:uid="{00000000-0005-0000-0000-000048010000}"/>
    <cellStyle name="C07B" xfId="183" xr:uid="{00000000-0005-0000-0000-000049010000}"/>
    <cellStyle name="C07H" xfId="184" xr:uid="{00000000-0005-0000-0000-00004A010000}"/>
    <cellStyle name="C07L" xfId="185" xr:uid="{00000000-0005-0000-0000-00004B010000}"/>
    <cellStyle name="cajun" xfId="1320" xr:uid="{00000000-0005-0000-0000-00004C010000}"/>
    <cellStyle name="Calculation" xfId="186" builtinId="22" customBuiltin="1"/>
    <cellStyle name="Calculation 2" xfId="187" xr:uid="{00000000-0005-0000-0000-00004E010000}"/>
    <cellStyle name="Calculation 2 2" xfId="188" xr:uid="{00000000-0005-0000-0000-00004F010000}"/>
    <cellStyle name="Calculation 2 3" xfId="189" xr:uid="{00000000-0005-0000-0000-000050010000}"/>
    <cellStyle name="Calculation 2 4" xfId="190" xr:uid="{00000000-0005-0000-0000-000051010000}"/>
    <cellStyle name="Calculation 2 5" xfId="191" xr:uid="{00000000-0005-0000-0000-000052010000}"/>
    <cellStyle name="Calculation 3" xfId="1321" xr:uid="{00000000-0005-0000-0000-000053010000}"/>
    <cellStyle name="Calculation 4" xfId="1509" xr:uid="{00000000-0005-0000-0000-000054010000}"/>
    <cellStyle name="Check Cell" xfId="192" builtinId="23" customBuiltin="1"/>
    <cellStyle name="Check Cell 2" xfId="193" xr:uid="{00000000-0005-0000-0000-000056010000}"/>
    <cellStyle name="Check Cell 2 2" xfId="194" xr:uid="{00000000-0005-0000-0000-000057010000}"/>
    <cellStyle name="Check Cell 2 3" xfId="195" xr:uid="{00000000-0005-0000-0000-000058010000}"/>
    <cellStyle name="Check Cell 2 4" xfId="196" xr:uid="{00000000-0005-0000-0000-000059010000}"/>
    <cellStyle name="Check Cell 2 5" xfId="197" xr:uid="{00000000-0005-0000-0000-00005A010000}"/>
    <cellStyle name="Check Cell 2 6" xfId="1322" xr:uid="{00000000-0005-0000-0000-00005B010000}"/>
    <cellStyle name="Check Cell 3" xfId="1323" xr:uid="{00000000-0005-0000-0000-00005C010000}"/>
    <cellStyle name="Check Cell 4" xfId="1324" xr:uid="{00000000-0005-0000-0000-00005D010000}"/>
    <cellStyle name="Check Cell 5" xfId="1480" xr:uid="{00000000-0005-0000-0000-00005E010000}"/>
    <cellStyle name="Comma" xfId="198" builtinId="3"/>
    <cellStyle name="Comma [0] 2" xfId="199" xr:uid="{00000000-0005-0000-0000-000060010000}"/>
    <cellStyle name="Comma [0] 2 2" xfId="200" xr:uid="{00000000-0005-0000-0000-000061010000}"/>
    <cellStyle name="Comma [0] 2 2 2" xfId="1325" xr:uid="{00000000-0005-0000-0000-000062010000}"/>
    <cellStyle name="Comma [0] 2 3" xfId="1214" xr:uid="{00000000-0005-0000-0000-000063010000}"/>
    <cellStyle name="Comma [0] 2 4" xfId="1550" xr:uid="{00000000-0005-0000-0000-000064010000}"/>
    <cellStyle name="Comma 10" xfId="201" xr:uid="{00000000-0005-0000-0000-000065010000}"/>
    <cellStyle name="Comma 10 2" xfId="1326" xr:uid="{00000000-0005-0000-0000-000066010000}"/>
    <cellStyle name="Comma 100" xfId="202" xr:uid="{00000000-0005-0000-0000-000067010000}"/>
    <cellStyle name="Comma 100 2" xfId="1533" xr:uid="{00000000-0005-0000-0000-000068010000}"/>
    <cellStyle name="Comma 101" xfId="203" xr:uid="{00000000-0005-0000-0000-000069010000}"/>
    <cellStyle name="Comma 101 2" xfId="204" xr:uid="{00000000-0005-0000-0000-00006A010000}"/>
    <cellStyle name="Comma 102" xfId="205" xr:uid="{00000000-0005-0000-0000-00006B010000}"/>
    <cellStyle name="Comma 102 2" xfId="206" xr:uid="{00000000-0005-0000-0000-00006C010000}"/>
    <cellStyle name="Comma 103" xfId="207" xr:uid="{00000000-0005-0000-0000-00006D010000}"/>
    <cellStyle name="Comma 103 2" xfId="208" xr:uid="{00000000-0005-0000-0000-00006E010000}"/>
    <cellStyle name="Comma 104" xfId="209" xr:uid="{00000000-0005-0000-0000-00006F010000}"/>
    <cellStyle name="Comma 104 2" xfId="210" xr:uid="{00000000-0005-0000-0000-000070010000}"/>
    <cellStyle name="Comma 105" xfId="211" xr:uid="{00000000-0005-0000-0000-000071010000}"/>
    <cellStyle name="Comma 105 2" xfId="212" xr:uid="{00000000-0005-0000-0000-000072010000}"/>
    <cellStyle name="Comma 106" xfId="213" xr:uid="{00000000-0005-0000-0000-000073010000}"/>
    <cellStyle name="Comma 106 2" xfId="214" xr:uid="{00000000-0005-0000-0000-000074010000}"/>
    <cellStyle name="Comma 107" xfId="215" xr:uid="{00000000-0005-0000-0000-000075010000}"/>
    <cellStyle name="Comma 107 2" xfId="216" xr:uid="{00000000-0005-0000-0000-000076010000}"/>
    <cellStyle name="Comma 108" xfId="217" xr:uid="{00000000-0005-0000-0000-000077010000}"/>
    <cellStyle name="Comma 108 2" xfId="218" xr:uid="{00000000-0005-0000-0000-000078010000}"/>
    <cellStyle name="Comma 109" xfId="219" xr:uid="{00000000-0005-0000-0000-000079010000}"/>
    <cellStyle name="Comma 11" xfId="220" xr:uid="{00000000-0005-0000-0000-00007A010000}"/>
    <cellStyle name="Comma 11 2" xfId="1328" xr:uid="{00000000-0005-0000-0000-00007B010000}"/>
    <cellStyle name="Comma 11 3" xfId="1327" xr:uid="{00000000-0005-0000-0000-00007C010000}"/>
    <cellStyle name="Comma 110" xfId="221" xr:uid="{00000000-0005-0000-0000-00007D010000}"/>
    <cellStyle name="Comma 110 2" xfId="1184" xr:uid="{00000000-0005-0000-0000-00007E010000}"/>
    <cellStyle name="Comma 111" xfId="222" xr:uid="{00000000-0005-0000-0000-00007F010000}"/>
    <cellStyle name="Comma 112" xfId="223" xr:uid="{00000000-0005-0000-0000-000080010000}"/>
    <cellStyle name="Comma 112 2" xfId="224" xr:uid="{00000000-0005-0000-0000-000081010000}"/>
    <cellStyle name="Comma 113" xfId="225" xr:uid="{00000000-0005-0000-0000-000082010000}"/>
    <cellStyle name="Comma 113 2" xfId="226" xr:uid="{00000000-0005-0000-0000-000083010000}"/>
    <cellStyle name="Comma 114" xfId="227" xr:uid="{00000000-0005-0000-0000-000084010000}"/>
    <cellStyle name="Comma 114 2" xfId="228" xr:uid="{00000000-0005-0000-0000-000085010000}"/>
    <cellStyle name="Comma 115" xfId="229" xr:uid="{00000000-0005-0000-0000-000086010000}"/>
    <cellStyle name="Comma 115 2" xfId="230" xr:uid="{00000000-0005-0000-0000-000087010000}"/>
    <cellStyle name="Comma 116" xfId="231" xr:uid="{00000000-0005-0000-0000-000088010000}"/>
    <cellStyle name="Comma 116 2" xfId="232" xr:uid="{00000000-0005-0000-0000-000089010000}"/>
    <cellStyle name="Comma 116 3" xfId="1529" xr:uid="{00000000-0005-0000-0000-00008A010000}"/>
    <cellStyle name="Comma 117" xfId="233" xr:uid="{00000000-0005-0000-0000-00008B010000}"/>
    <cellStyle name="Comma 117 2" xfId="234" xr:uid="{00000000-0005-0000-0000-00008C010000}"/>
    <cellStyle name="Comma 117 3" xfId="1530" xr:uid="{00000000-0005-0000-0000-00008D010000}"/>
    <cellStyle name="Comma 118" xfId="235" xr:uid="{00000000-0005-0000-0000-00008E010000}"/>
    <cellStyle name="Comma 118 2" xfId="236" xr:uid="{00000000-0005-0000-0000-00008F010000}"/>
    <cellStyle name="Comma 118 3" xfId="1531" xr:uid="{00000000-0005-0000-0000-000090010000}"/>
    <cellStyle name="Comma 119" xfId="237" xr:uid="{00000000-0005-0000-0000-000091010000}"/>
    <cellStyle name="Comma 119 2" xfId="238" xr:uid="{00000000-0005-0000-0000-000092010000}"/>
    <cellStyle name="Comma 12" xfId="239" xr:uid="{00000000-0005-0000-0000-000093010000}"/>
    <cellStyle name="Comma 12 2" xfId="240" xr:uid="{00000000-0005-0000-0000-000094010000}"/>
    <cellStyle name="Comma 12 2 2" xfId="241" xr:uid="{00000000-0005-0000-0000-000095010000}"/>
    <cellStyle name="Comma 12 2 3" xfId="242" xr:uid="{00000000-0005-0000-0000-000096010000}"/>
    <cellStyle name="Comma 12 2 4" xfId="1156" xr:uid="{00000000-0005-0000-0000-000097010000}"/>
    <cellStyle name="Comma 12 2 5" xfId="1330" xr:uid="{00000000-0005-0000-0000-000098010000}"/>
    <cellStyle name="Comma 12 3" xfId="1329" xr:uid="{00000000-0005-0000-0000-000099010000}"/>
    <cellStyle name="Comma 12 4" xfId="1547" xr:uid="{00000000-0005-0000-0000-00009A010000}"/>
    <cellStyle name="Comma 120" xfId="243" xr:uid="{00000000-0005-0000-0000-00009B010000}"/>
    <cellStyle name="Comma 120 2" xfId="244" xr:uid="{00000000-0005-0000-0000-00009C010000}"/>
    <cellStyle name="Comma 121" xfId="245" xr:uid="{00000000-0005-0000-0000-00009D010000}"/>
    <cellStyle name="Comma 121 2" xfId="246" xr:uid="{00000000-0005-0000-0000-00009E010000}"/>
    <cellStyle name="Comma 122" xfId="247" xr:uid="{00000000-0005-0000-0000-00009F010000}"/>
    <cellStyle name="Comma 122 2" xfId="248" xr:uid="{00000000-0005-0000-0000-0000A0010000}"/>
    <cellStyle name="Comma 123" xfId="249" xr:uid="{00000000-0005-0000-0000-0000A1010000}"/>
    <cellStyle name="Comma 123 2" xfId="250" xr:uid="{00000000-0005-0000-0000-0000A2010000}"/>
    <cellStyle name="Comma 124" xfId="251" xr:uid="{00000000-0005-0000-0000-0000A3010000}"/>
    <cellStyle name="Comma 124 2" xfId="252" xr:uid="{00000000-0005-0000-0000-0000A4010000}"/>
    <cellStyle name="Comma 125" xfId="253" xr:uid="{00000000-0005-0000-0000-0000A5010000}"/>
    <cellStyle name="Comma 125 2" xfId="254" xr:uid="{00000000-0005-0000-0000-0000A6010000}"/>
    <cellStyle name="Comma 126" xfId="255" xr:uid="{00000000-0005-0000-0000-0000A7010000}"/>
    <cellStyle name="Comma 126 2" xfId="256" xr:uid="{00000000-0005-0000-0000-0000A8010000}"/>
    <cellStyle name="Comma 127" xfId="257" xr:uid="{00000000-0005-0000-0000-0000A9010000}"/>
    <cellStyle name="Comma 127 2" xfId="258" xr:uid="{00000000-0005-0000-0000-0000AA010000}"/>
    <cellStyle name="Comma 128" xfId="259" xr:uid="{00000000-0005-0000-0000-0000AB010000}"/>
    <cellStyle name="Comma 128 2" xfId="260" xr:uid="{00000000-0005-0000-0000-0000AC010000}"/>
    <cellStyle name="Comma 129" xfId="261" xr:uid="{00000000-0005-0000-0000-0000AD010000}"/>
    <cellStyle name="Comma 129 2" xfId="262" xr:uid="{00000000-0005-0000-0000-0000AE010000}"/>
    <cellStyle name="Comma 13" xfId="263" xr:uid="{00000000-0005-0000-0000-0000AF010000}"/>
    <cellStyle name="Comma 13 2" xfId="1331" xr:uid="{00000000-0005-0000-0000-0000B0010000}"/>
    <cellStyle name="Comma 130" xfId="264" xr:uid="{00000000-0005-0000-0000-0000B1010000}"/>
    <cellStyle name="Comma 130 2" xfId="265" xr:uid="{00000000-0005-0000-0000-0000B2010000}"/>
    <cellStyle name="Comma 131" xfId="266" xr:uid="{00000000-0005-0000-0000-0000B3010000}"/>
    <cellStyle name="Comma 132" xfId="267" xr:uid="{00000000-0005-0000-0000-0000B4010000}"/>
    <cellStyle name="Comma 133" xfId="268" xr:uid="{00000000-0005-0000-0000-0000B5010000}"/>
    <cellStyle name="Comma 134" xfId="1155" xr:uid="{00000000-0005-0000-0000-0000B6010000}"/>
    <cellStyle name="Comma 135" xfId="1165" xr:uid="{00000000-0005-0000-0000-0000B7010000}"/>
    <cellStyle name="Comma 136" xfId="1199" xr:uid="{00000000-0005-0000-0000-0000B8010000}"/>
    <cellStyle name="Comma 137" xfId="1440" xr:uid="{00000000-0005-0000-0000-0000B9010000}"/>
    <cellStyle name="Comma 138" xfId="1527" xr:uid="{00000000-0005-0000-0000-0000BA010000}"/>
    <cellStyle name="Comma 139" xfId="1510" xr:uid="{00000000-0005-0000-0000-0000BB010000}"/>
    <cellStyle name="Comma 14" xfId="269" xr:uid="{00000000-0005-0000-0000-0000BC010000}"/>
    <cellStyle name="Comma 14 2" xfId="1332" xr:uid="{00000000-0005-0000-0000-0000BD010000}"/>
    <cellStyle name="Comma 140" xfId="1537" xr:uid="{00000000-0005-0000-0000-0000BE010000}"/>
    <cellStyle name="Comma 141" xfId="1544" xr:uid="{00000000-0005-0000-0000-0000BF010000}"/>
    <cellStyle name="Comma 142" xfId="1558" xr:uid="{00000000-0005-0000-0000-0000C0010000}"/>
    <cellStyle name="Comma 143" xfId="1561" xr:uid="{00000000-0005-0000-0000-0000C1010000}"/>
    <cellStyle name="Comma 15" xfId="270" xr:uid="{00000000-0005-0000-0000-0000C2010000}"/>
    <cellStyle name="Comma 15 2" xfId="1333" xr:uid="{00000000-0005-0000-0000-0000C3010000}"/>
    <cellStyle name="Comma 16" xfId="271" xr:uid="{00000000-0005-0000-0000-0000C4010000}"/>
    <cellStyle name="Comma 16 2" xfId="1334" xr:uid="{00000000-0005-0000-0000-0000C5010000}"/>
    <cellStyle name="Comma 17" xfId="272" xr:uid="{00000000-0005-0000-0000-0000C6010000}"/>
    <cellStyle name="Comma 17 2" xfId="1335" xr:uid="{00000000-0005-0000-0000-0000C7010000}"/>
    <cellStyle name="Comma 18" xfId="273" xr:uid="{00000000-0005-0000-0000-0000C8010000}"/>
    <cellStyle name="Comma 18 2" xfId="1336" xr:uid="{00000000-0005-0000-0000-0000C9010000}"/>
    <cellStyle name="Comma 19" xfId="274" xr:uid="{00000000-0005-0000-0000-0000CA010000}"/>
    <cellStyle name="Comma 19 2" xfId="1337" xr:uid="{00000000-0005-0000-0000-0000CB010000}"/>
    <cellStyle name="Comma 2" xfId="275" xr:uid="{00000000-0005-0000-0000-0000CC010000}"/>
    <cellStyle name="Comma 2 2" xfId="276" xr:uid="{00000000-0005-0000-0000-0000CD010000}"/>
    <cellStyle name="Comma 2 2 2" xfId="277" xr:uid="{00000000-0005-0000-0000-0000CE010000}"/>
    <cellStyle name="Comma 2 2 3" xfId="1201" xr:uid="{00000000-0005-0000-0000-0000CF010000}"/>
    <cellStyle name="Comma 2 3" xfId="278" xr:uid="{00000000-0005-0000-0000-0000D0010000}"/>
    <cellStyle name="Comma 2 3 2" xfId="279" xr:uid="{00000000-0005-0000-0000-0000D1010000}"/>
    <cellStyle name="Comma 2 3 3" xfId="280" xr:uid="{00000000-0005-0000-0000-0000D2010000}"/>
    <cellStyle name="Comma 2 3 4" xfId="281" xr:uid="{00000000-0005-0000-0000-0000D3010000}"/>
    <cellStyle name="Comma 2 3 5" xfId="1524" xr:uid="{00000000-0005-0000-0000-0000D4010000}"/>
    <cellStyle name="Comma 2 4" xfId="282" xr:uid="{00000000-0005-0000-0000-0000D5010000}"/>
    <cellStyle name="Comma 2 5" xfId="1175" xr:uid="{00000000-0005-0000-0000-0000D6010000}"/>
    <cellStyle name="Comma 2 6" xfId="1554" xr:uid="{00000000-0005-0000-0000-0000D7010000}"/>
    <cellStyle name="Comma 20" xfId="283" xr:uid="{00000000-0005-0000-0000-0000D8010000}"/>
    <cellStyle name="Comma 20 2" xfId="1338" xr:uid="{00000000-0005-0000-0000-0000D9010000}"/>
    <cellStyle name="Comma 21" xfId="284" xr:uid="{00000000-0005-0000-0000-0000DA010000}"/>
    <cellStyle name="Comma 21 2" xfId="1340" xr:uid="{00000000-0005-0000-0000-0000DB010000}"/>
    <cellStyle name="Comma 21 3" xfId="1339" xr:uid="{00000000-0005-0000-0000-0000DC010000}"/>
    <cellStyle name="Comma 22" xfId="285" xr:uid="{00000000-0005-0000-0000-0000DD010000}"/>
    <cellStyle name="Comma 22 2" xfId="1341" xr:uid="{00000000-0005-0000-0000-0000DE010000}"/>
    <cellStyle name="Comma 23" xfId="286" xr:uid="{00000000-0005-0000-0000-0000DF010000}"/>
    <cellStyle name="Comma 23 2" xfId="1342" xr:uid="{00000000-0005-0000-0000-0000E0010000}"/>
    <cellStyle name="Comma 24" xfId="287" xr:uid="{00000000-0005-0000-0000-0000E1010000}"/>
    <cellStyle name="Comma 24 2" xfId="1343" xr:uid="{00000000-0005-0000-0000-0000E2010000}"/>
    <cellStyle name="Comma 25" xfId="288" xr:uid="{00000000-0005-0000-0000-0000E3010000}"/>
    <cellStyle name="Comma 25 2" xfId="289" xr:uid="{00000000-0005-0000-0000-0000E4010000}"/>
    <cellStyle name="Comma 26" xfId="290" xr:uid="{00000000-0005-0000-0000-0000E5010000}"/>
    <cellStyle name="Comma 26 2" xfId="291" xr:uid="{00000000-0005-0000-0000-0000E6010000}"/>
    <cellStyle name="Comma 27" xfId="292" xr:uid="{00000000-0005-0000-0000-0000E7010000}"/>
    <cellStyle name="Comma 27 2" xfId="293" xr:uid="{00000000-0005-0000-0000-0000E8010000}"/>
    <cellStyle name="Comma 28" xfId="294" xr:uid="{00000000-0005-0000-0000-0000E9010000}"/>
    <cellStyle name="Comma 28 2" xfId="295" xr:uid="{00000000-0005-0000-0000-0000EA010000}"/>
    <cellStyle name="Comma 29" xfId="296" xr:uid="{00000000-0005-0000-0000-0000EB010000}"/>
    <cellStyle name="Comma 29 2" xfId="297" xr:uid="{00000000-0005-0000-0000-0000EC010000}"/>
    <cellStyle name="Comma 3" xfId="298" xr:uid="{00000000-0005-0000-0000-0000ED010000}"/>
    <cellStyle name="Comma 3 10" xfId="299" xr:uid="{00000000-0005-0000-0000-0000EE010000}"/>
    <cellStyle name="Comma 3 10 2" xfId="300" xr:uid="{00000000-0005-0000-0000-0000EF010000}"/>
    <cellStyle name="Comma 3 10 3" xfId="301" xr:uid="{00000000-0005-0000-0000-0000F0010000}"/>
    <cellStyle name="Comma 3 11" xfId="302" xr:uid="{00000000-0005-0000-0000-0000F1010000}"/>
    <cellStyle name="Comma 3 11 2" xfId="303" xr:uid="{00000000-0005-0000-0000-0000F2010000}"/>
    <cellStyle name="Comma 3 12" xfId="304" xr:uid="{00000000-0005-0000-0000-0000F3010000}"/>
    <cellStyle name="Comma 3 12 2" xfId="305" xr:uid="{00000000-0005-0000-0000-0000F4010000}"/>
    <cellStyle name="Comma 3 13" xfId="306" xr:uid="{00000000-0005-0000-0000-0000F5010000}"/>
    <cellStyle name="Comma 3 13 2" xfId="307" xr:uid="{00000000-0005-0000-0000-0000F6010000}"/>
    <cellStyle name="Comma 3 14" xfId="308" xr:uid="{00000000-0005-0000-0000-0000F7010000}"/>
    <cellStyle name="Comma 3 2" xfId="309" xr:uid="{00000000-0005-0000-0000-0000F8010000}"/>
    <cellStyle name="Comma 3 2 2" xfId="310" xr:uid="{00000000-0005-0000-0000-0000F9010000}"/>
    <cellStyle name="Comma 3 2 3" xfId="1344" xr:uid="{00000000-0005-0000-0000-0000FA010000}"/>
    <cellStyle name="Comma 3 3" xfId="311" xr:uid="{00000000-0005-0000-0000-0000FB010000}"/>
    <cellStyle name="Comma 3 3 2" xfId="312" xr:uid="{00000000-0005-0000-0000-0000FC010000}"/>
    <cellStyle name="Comma 3 3 2 2" xfId="313" xr:uid="{00000000-0005-0000-0000-0000FD010000}"/>
    <cellStyle name="Comma 3 3 2 3" xfId="314" xr:uid="{00000000-0005-0000-0000-0000FE010000}"/>
    <cellStyle name="Comma 3 3 2 4" xfId="1538" xr:uid="{00000000-0005-0000-0000-0000FF010000}"/>
    <cellStyle name="Comma 3 3 3" xfId="315" xr:uid="{00000000-0005-0000-0000-000000020000}"/>
    <cellStyle name="Comma 3 3 3 2" xfId="316" xr:uid="{00000000-0005-0000-0000-000001020000}"/>
    <cellStyle name="Comma 3 3 3 2 2" xfId="317" xr:uid="{00000000-0005-0000-0000-000002020000}"/>
    <cellStyle name="Comma 3 3 3 2 3" xfId="318" xr:uid="{00000000-0005-0000-0000-000003020000}"/>
    <cellStyle name="Comma 3 3 3 2 4" xfId="319" xr:uid="{00000000-0005-0000-0000-000004020000}"/>
    <cellStyle name="Comma 3 3 3 2 5" xfId="320" xr:uid="{00000000-0005-0000-0000-000005020000}"/>
    <cellStyle name="Comma 3 3 3 3" xfId="321" xr:uid="{00000000-0005-0000-0000-000006020000}"/>
    <cellStyle name="Comma 3 3 4" xfId="322" xr:uid="{00000000-0005-0000-0000-000007020000}"/>
    <cellStyle name="Comma 3 3 5" xfId="323" xr:uid="{00000000-0005-0000-0000-000008020000}"/>
    <cellStyle name="Comma 3 3 5 2" xfId="324" xr:uid="{00000000-0005-0000-0000-000009020000}"/>
    <cellStyle name="Comma 3 3 5 3" xfId="325" xr:uid="{00000000-0005-0000-0000-00000A020000}"/>
    <cellStyle name="Comma 3 3 5 4" xfId="326" xr:uid="{00000000-0005-0000-0000-00000B020000}"/>
    <cellStyle name="Comma 3 3 5 5" xfId="327" xr:uid="{00000000-0005-0000-0000-00000C020000}"/>
    <cellStyle name="Comma 3 3 6" xfId="328" xr:uid="{00000000-0005-0000-0000-00000D020000}"/>
    <cellStyle name="Comma 3 3 7" xfId="1183" xr:uid="{00000000-0005-0000-0000-00000E020000}"/>
    <cellStyle name="Comma 3 4" xfId="329" xr:uid="{00000000-0005-0000-0000-00000F020000}"/>
    <cellStyle name="Comma 3 4 2" xfId="330" xr:uid="{00000000-0005-0000-0000-000010020000}"/>
    <cellStyle name="Comma 3 4 3" xfId="331" xr:uid="{00000000-0005-0000-0000-000011020000}"/>
    <cellStyle name="Comma 3 4 4" xfId="332" xr:uid="{00000000-0005-0000-0000-000012020000}"/>
    <cellStyle name="Comma 3 4 4 2" xfId="333" xr:uid="{00000000-0005-0000-0000-000013020000}"/>
    <cellStyle name="Comma 3 4 4 3" xfId="334" xr:uid="{00000000-0005-0000-0000-000014020000}"/>
    <cellStyle name="Comma 3 4 4 4" xfId="335" xr:uid="{00000000-0005-0000-0000-000015020000}"/>
    <cellStyle name="Comma 3 4 4 5" xfId="336" xr:uid="{00000000-0005-0000-0000-000016020000}"/>
    <cellStyle name="Comma 3 4 5" xfId="337" xr:uid="{00000000-0005-0000-0000-000017020000}"/>
    <cellStyle name="Comma 3 4 6" xfId="1525" xr:uid="{00000000-0005-0000-0000-000018020000}"/>
    <cellStyle name="Comma 3 5" xfId="338" xr:uid="{00000000-0005-0000-0000-000019020000}"/>
    <cellStyle name="Comma 3 5 2" xfId="339" xr:uid="{00000000-0005-0000-0000-00001A020000}"/>
    <cellStyle name="Comma 3 5 3" xfId="340" xr:uid="{00000000-0005-0000-0000-00001B020000}"/>
    <cellStyle name="Comma 3 5 3 2" xfId="341" xr:uid="{00000000-0005-0000-0000-00001C020000}"/>
    <cellStyle name="Comma 3 5 3 3" xfId="342" xr:uid="{00000000-0005-0000-0000-00001D020000}"/>
    <cellStyle name="Comma 3 6" xfId="343" xr:uid="{00000000-0005-0000-0000-00001E020000}"/>
    <cellStyle name="Comma 3 6 2" xfId="1126" xr:uid="{00000000-0005-0000-0000-00001F020000}"/>
    <cellStyle name="Comma 3 7" xfId="344" xr:uid="{00000000-0005-0000-0000-000020020000}"/>
    <cellStyle name="Comma 3 7 2" xfId="1127" xr:uid="{00000000-0005-0000-0000-000021020000}"/>
    <cellStyle name="Comma 3 8" xfId="345" xr:uid="{00000000-0005-0000-0000-000022020000}"/>
    <cellStyle name="Comma 3 9" xfId="346" xr:uid="{00000000-0005-0000-0000-000023020000}"/>
    <cellStyle name="Comma 30" xfId="347" xr:uid="{00000000-0005-0000-0000-000024020000}"/>
    <cellStyle name="Comma 30 2" xfId="1346" xr:uid="{00000000-0005-0000-0000-000025020000}"/>
    <cellStyle name="Comma 30 3" xfId="1345" xr:uid="{00000000-0005-0000-0000-000026020000}"/>
    <cellStyle name="Comma 31" xfId="348" xr:uid="{00000000-0005-0000-0000-000027020000}"/>
    <cellStyle name="Comma 31 2" xfId="1348" xr:uid="{00000000-0005-0000-0000-000028020000}"/>
    <cellStyle name="Comma 31 3" xfId="1347" xr:uid="{00000000-0005-0000-0000-000029020000}"/>
    <cellStyle name="Comma 32" xfId="349" xr:uid="{00000000-0005-0000-0000-00002A020000}"/>
    <cellStyle name="Comma 33" xfId="350" xr:uid="{00000000-0005-0000-0000-00002B020000}"/>
    <cellStyle name="Comma 34" xfId="351" xr:uid="{00000000-0005-0000-0000-00002C020000}"/>
    <cellStyle name="Comma 34 2" xfId="1350" xr:uid="{00000000-0005-0000-0000-00002D020000}"/>
    <cellStyle name="Comma 34 3" xfId="1349" xr:uid="{00000000-0005-0000-0000-00002E020000}"/>
    <cellStyle name="Comma 35" xfId="352" xr:uid="{00000000-0005-0000-0000-00002F020000}"/>
    <cellStyle name="Comma 35 2" xfId="1352" xr:uid="{00000000-0005-0000-0000-000030020000}"/>
    <cellStyle name="Comma 35 3" xfId="1351" xr:uid="{00000000-0005-0000-0000-000031020000}"/>
    <cellStyle name="Comma 36" xfId="353" xr:uid="{00000000-0005-0000-0000-000032020000}"/>
    <cellStyle name="Comma 36 2" xfId="1353" xr:uid="{00000000-0005-0000-0000-000033020000}"/>
    <cellStyle name="Comma 37" xfId="354" xr:uid="{00000000-0005-0000-0000-000034020000}"/>
    <cellStyle name="Comma 37 2" xfId="1354" xr:uid="{00000000-0005-0000-0000-000035020000}"/>
    <cellStyle name="Comma 38" xfId="355" xr:uid="{00000000-0005-0000-0000-000036020000}"/>
    <cellStyle name="Comma 38 2" xfId="1211" xr:uid="{00000000-0005-0000-0000-000037020000}"/>
    <cellStyle name="Comma 39" xfId="356" xr:uid="{00000000-0005-0000-0000-000038020000}"/>
    <cellStyle name="Comma 4" xfId="357" xr:uid="{00000000-0005-0000-0000-000039020000}"/>
    <cellStyle name="Comma 4 2" xfId="358" xr:uid="{00000000-0005-0000-0000-00003A020000}"/>
    <cellStyle name="Comma 4 2 2" xfId="359" xr:uid="{00000000-0005-0000-0000-00003B020000}"/>
    <cellStyle name="Comma 4 2 2 2" xfId="360" xr:uid="{00000000-0005-0000-0000-00003C020000}"/>
    <cellStyle name="Comma 4 2 2 3" xfId="361" xr:uid="{00000000-0005-0000-0000-00003D020000}"/>
    <cellStyle name="Comma 4 2 2 4" xfId="362" xr:uid="{00000000-0005-0000-0000-00003E020000}"/>
    <cellStyle name="Comma 4 2 2 5" xfId="363" xr:uid="{00000000-0005-0000-0000-00003F020000}"/>
    <cellStyle name="Comma 4 2 2 6" xfId="1357" xr:uid="{00000000-0005-0000-0000-000040020000}"/>
    <cellStyle name="Comma 4 2 3" xfId="364" xr:uid="{00000000-0005-0000-0000-000041020000}"/>
    <cellStyle name="Comma 4 2 3 2" xfId="365" xr:uid="{00000000-0005-0000-0000-000042020000}"/>
    <cellStyle name="Comma 4 2 3 2 2" xfId="366" xr:uid="{00000000-0005-0000-0000-000043020000}"/>
    <cellStyle name="Comma 4 2 3 3" xfId="367" xr:uid="{00000000-0005-0000-0000-000044020000}"/>
    <cellStyle name="Comma 4 2 3 3 2" xfId="368" xr:uid="{00000000-0005-0000-0000-000045020000}"/>
    <cellStyle name="Comma 4 2 3 4" xfId="369" xr:uid="{00000000-0005-0000-0000-000046020000}"/>
    <cellStyle name="Comma 4 2 4" xfId="370" xr:uid="{00000000-0005-0000-0000-000047020000}"/>
    <cellStyle name="Comma 4 2 4 2" xfId="371" xr:uid="{00000000-0005-0000-0000-000048020000}"/>
    <cellStyle name="Comma 4 2 4 3" xfId="372" xr:uid="{00000000-0005-0000-0000-000049020000}"/>
    <cellStyle name="Comma 4 2 4 4" xfId="373" xr:uid="{00000000-0005-0000-0000-00004A020000}"/>
    <cellStyle name="Comma 4 2 5" xfId="374" xr:uid="{00000000-0005-0000-0000-00004B020000}"/>
    <cellStyle name="Comma 4 2 6" xfId="375" xr:uid="{00000000-0005-0000-0000-00004C020000}"/>
    <cellStyle name="Comma 4 2 7" xfId="376" xr:uid="{00000000-0005-0000-0000-00004D020000}"/>
    <cellStyle name="Comma 4 2 8" xfId="1356" xr:uid="{00000000-0005-0000-0000-00004E020000}"/>
    <cellStyle name="Comma 4 3" xfId="377" xr:uid="{00000000-0005-0000-0000-00004F020000}"/>
    <cellStyle name="Comma 4 3 2" xfId="378" xr:uid="{00000000-0005-0000-0000-000050020000}"/>
    <cellStyle name="Comma 4 3 2 2" xfId="379" xr:uid="{00000000-0005-0000-0000-000051020000}"/>
    <cellStyle name="Comma 4 3 2 2 2" xfId="380" xr:uid="{00000000-0005-0000-0000-000052020000}"/>
    <cellStyle name="Comma 4 3 2 3" xfId="381" xr:uid="{00000000-0005-0000-0000-000053020000}"/>
    <cellStyle name="Comma 4 3 2 3 2" xfId="382" xr:uid="{00000000-0005-0000-0000-000054020000}"/>
    <cellStyle name="Comma 4 3 2 4" xfId="383" xr:uid="{00000000-0005-0000-0000-000055020000}"/>
    <cellStyle name="Comma 4 3 3" xfId="384" xr:uid="{00000000-0005-0000-0000-000056020000}"/>
    <cellStyle name="Comma 4 3 4" xfId="385" xr:uid="{00000000-0005-0000-0000-000057020000}"/>
    <cellStyle name="Comma 4 3 4 2" xfId="386" xr:uid="{00000000-0005-0000-0000-000058020000}"/>
    <cellStyle name="Comma 4 3 4 3" xfId="387" xr:uid="{00000000-0005-0000-0000-000059020000}"/>
    <cellStyle name="Comma 4 3 5" xfId="388" xr:uid="{00000000-0005-0000-0000-00005A020000}"/>
    <cellStyle name="Comma 4 3 5 2" xfId="389" xr:uid="{00000000-0005-0000-0000-00005B020000}"/>
    <cellStyle name="Comma 4 3 6" xfId="390" xr:uid="{00000000-0005-0000-0000-00005C020000}"/>
    <cellStyle name="Comma 4 3 6 2" xfId="391" xr:uid="{00000000-0005-0000-0000-00005D020000}"/>
    <cellStyle name="Comma 4 3 7" xfId="392" xr:uid="{00000000-0005-0000-0000-00005E020000}"/>
    <cellStyle name="Comma 4 3 8" xfId="1358" xr:uid="{00000000-0005-0000-0000-00005F020000}"/>
    <cellStyle name="Comma 4 4" xfId="393" xr:uid="{00000000-0005-0000-0000-000060020000}"/>
    <cellStyle name="Comma 4 4 2" xfId="394" xr:uid="{00000000-0005-0000-0000-000061020000}"/>
    <cellStyle name="Comma 4 4 3" xfId="395" xr:uid="{00000000-0005-0000-0000-000062020000}"/>
    <cellStyle name="Comma 4 4 4" xfId="396" xr:uid="{00000000-0005-0000-0000-000063020000}"/>
    <cellStyle name="Comma 4 4 5" xfId="397" xr:uid="{00000000-0005-0000-0000-000064020000}"/>
    <cellStyle name="Comma 4 5" xfId="398" xr:uid="{00000000-0005-0000-0000-000065020000}"/>
    <cellStyle name="Comma 4 5 2" xfId="399" xr:uid="{00000000-0005-0000-0000-000066020000}"/>
    <cellStyle name="Comma 4 6" xfId="400" xr:uid="{00000000-0005-0000-0000-000067020000}"/>
    <cellStyle name="Comma 4 7" xfId="401" xr:uid="{00000000-0005-0000-0000-000068020000}"/>
    <cellStyle name="Comma 4 7 2" xfId="402" xr:uid="{00000000-0005-0000-0000-000069020000}"/>
    <cellStyle name="Comma 4 7 3" xfId="403" xr:uid="{00000000-0005-0000-0000-00006A020000}"/>
    <cellStyle name="Comma 4 8" xfId="1157" xr:uid="{00000000-0005-0000-0000-00006B020000}"/>
    <cellStyle name="Comma 4 9" xfId="1355" xr:uid="{00000000-0005-0000-0000-00006C020000}"/>
    <cellStyle name="Comma 40" xfId="404" xr:uid="{00000000-0005-0000-0000-00006D020000}"/>
    <cellStyle name="Comma 41" xfId="405" xr:uid="{00000000-0005-0000-0000-00006E020000}"/>
    <cellStyle name="Comma 42" xfId="406" xr:uid="{00000000-0005-0000-0000-00006F020000}"/>
    <cellStyle name="Comma 42 2" xfId="1508" xr:uid="{00000000-0005-0000-0000-000070020000}"/>
    <cellStyle name="Comma 43" xfId="407" xr:uid="{00000000-0005-0000-0000-000071020000}"/>
    <cellStyle name="Comma 43 2" xfId="1511" xr:uid="{00000000-0005-0000-0000-000072020000}"/>
    <cellStyle name="Comma 44" xfId="408" xr:uid="{00000000-0005-0000-0000-000073020000}"/>
    <cellStyle name="Comma 44 2" xfId="1516" xr:uid="{00000000-0005-0000-0000-000074020000}"/>
    <cellStyle name="Comma 45" xfId="409" xr:uid="{00000000-0005-0000-0000-000075020000}"/>
    <cellStyle name="Comma 45 2" xfId="1512" xr:uid="{00000000-0005-0000-0000-000076020000}"/>
    <cellStyle name="Comma 46" xfId="410" xr:uid="{00000000-0005-0000-0000-000077020000}"/>
    <cellStyle name="Comma 46 2" xfId="1517" xr:uid="{00000000-0005-0000-0000-000078020000}"/>
    <cellStyle name="Comma 47" xfId="411" xr:uid="{00000000-0005-0000-0000-000079020000}"/>
    <cellStyle name="Comma 47 2" xfId="1513" xr:uid="{00000000-0005-0000-0000-00007A020000}"/>
    <cellStyle name="Comma 48" xfId="412" xr:uid="{00000000-0005-0000-0000-00007B020000}"/>
    <cellStyle name="Comma 48 2" xfId="1515" xr:uid="{00000000-0005-0000-0000-00007C020000}"/>
    <cellStyle name="Comma 49" xfId="413" xr:uid="{00000000-0005-0000-0000-00007D020000}"/>
    <cellStyle name="Comma 49 2" xfId="1514" xr:uid="{00000000-0005-0000-0000-00007E020000}"/>
    <cellStyle name="Comma 5" xfId="414" xr:uid="{00000000-0005-0000-0000-00007F020000}"/>
    <cellStyle name="Comma 5 2" xfId="415" xr:uid="{00000000-0005-0000-0000-000080020000}"/>
    <cellStyle name="Comma 5 2 2" xfId="416" xr:uid="{00000000-0005-0000-0000-000081020000}"/>
    <cellStyle name="Comma 5 2 3" xfId="417" xr:uid="{00000000-0005-0000-0000-000082020000}"/>
    <cellStyle name="Comma 5 2 4" xfId="1360" xr:uid="{00000000-0005-0000-0000-000083020000}"/>
    <cellStyle name="Comma 5 3" xfId="418" xr:uid="{00000000-0005-0000-0000-000084020000}"/>
    <cellStyle name="Comma 5 4" xfId="1359" xr:uid="{00000000-0005-0000-0000-000085020000}"/>
    <cellStyle name="Comma 50" xfId="419" xr:uid="{00000000-0005-0000-0000-000086020000}"/>
    <cellStyle name="Comma 50 2" xfId="1518" xr:uid="{00000000-0005-0000-0000-000087020000}"/>
    <cellStyle name="Comma 51" xfId="420" xr:uid="{00000000-0005-0000-0000-000088020000}"/>
    <cellStyle name="Comma 51 2" xfId="1520" xr:uid="{00000000-0005-0000-0000-000089020000}"/>
    <cellStyle name="Comma 52" xfId="421" xr:uid="{00000000-0005-0000-0000-00008A020000}"/>
    <cellStyle name="Comma 52 2" xfId="422" xr:uid="{00000000-0005-0000-0000-00008B020000}"/>
    <cellStyle name="Comma 53" xfId="423" xr:uid="{00000000-0005-0000-0000-00008C020000}"/>
    <cellStyle name="Comma 54" xfId="424" xr:uid="{00000000-0005-0000-0000-00008D020000}"/>
    <cellStyle name="Comma 55" xfId="425" xr:uid="{00000000-0005-0000-0000-00008E020000}"/>
    <cellStyle name="Comma 56" xfId="426" xr:uid="{00000000-0005-0000-0000-00008F020000}"/>
    <cellStyle name="Comma 57" xfId="427" xr:uid="{00000000-0005-0000-0000-000090020000}"/>
    <cellStyle name="Comma 57 2" xfId="428" xr:uid="{00000000-0005-0000-0000-000091020000}"/>
    <cellStyle name="Comma 57 3" xfId="429" xr:uid="{00000000-0005-0000-0000-000092020000}"/>
    <cellStyle name="Comma 57 4" xfId="430" xr:uid="{00000000-0005-0000-0000-000093020000}"/>
    <cellStyle name="Comma 57 5" xfId="431" xr:uid="{00000000-0005-0000-0000-000094020000}"/>
    <cellStyle name="Comma 58" xfId="432" xr:uid="{00000000-0005-0000-0000-000095020000}"/>
    <cellStyle name="Comma 58 2" xfId="433" xr:uid="{00000000-0005-0000-0000-000096020000}"/>
    <cellStyle name="Comma 58 3" xfId="434" xr:uid="{00000000-0005-0000-0000-000097020000}"/>
    <cellStyle name="Comma 58 4" xfId="435" xr:uid="{00000000-0005-0000-0000-000098020000}"/>
    <cellStyle name="Comma 58 5" xfId="436" xr:uid="{00000000-0005-0000-0000-000099020000}"/>
    <cellStyle name="Comma 59" xfId="437" xr:uid="{00000000-0005-0000-0000-00009A020000}"/>
    <cellStyle name="Comma 59 2" xfId="438" xr:uid="{00000000-0005-0000-0000-00009B020000}"/>
    <cellStyle name="Comma 59 3" xfId="439" xr:uid="{00000000-0005-0000-0000-00009C020000}"/>
    <cellStyle name="Comma 59 4" xfId="440" xr:uid="{00000000-0005-0000-0000-00009D020000}"/>
    <cellStyle name="Comma 59 5" xfId="441" xr:uid="{00000000-0005-0000-0000-00009E020000}"/>
    <cellStyle name="Comma 6" xfId="442" xr:uid="{00000000-0005-0000-0000-00009F020000}"/>
    <cellStyle name="Comma 6 2" xfId="443" xr:uid="{00000000-0005-0000-0000-0000A0020000}"/>
    <cellStyle name="Comma 6 2 2" xfId="1174" xr:uid="{00000000-0005-0000-0000-0000A1020000}"/>
    <cellStyle name="Comma 6 2 3" xfId="1362" xr:uid="{00000000-0005-0000-0000-0000A2020000}"/>
    <cellStyle name="Comma 6 3" xfId="444" xr:uid="{00000000-0005-0000-0000-0000A3020000}"/>
    <cellStyle name="Comma 6 3 2" xfId="1159" xr:uid="{00000000-0005-0000-0000-0000A4020000}"/>
    <cellStyle name="Comma 6 4" xfId="445" xr:uid="{00000000-0005-0000-0000-0000A5020000}"/>
    <cellStyle name="Comma 6 4 2" xfId="446" xr:uid="{00000000-0005-0000-0000-0000A6020000}"/>
    <cellStyle name="Comma 6 4 3" xfId="447" xr:uid="{00000000-0005-0000-0000-0000A7020000}"/>
    <cellStyle name="Comma 6 4 4" xfId="448" xr:uid="{00000000-0005-0000-0000-0000A8020000}"/>
    <cellStyle name="Comma 6 4 5" xfId="449" xr:uid="{00000000-0005-0000-0000-0000A9020000}"/>
    <cellStyle name="Comma 6 5" xfId="450" xr:uid="{00000000-0005-0000-0000-0000AA020000}"/>
    <cellStyle name="Comma 6 6" xfId="451" xr:uid="{00000000-0005-0000-0000-0000AB020000}"/>
    <cellStyle name="Comma 6 7" xfId="452" xr:uid="{00000000-0005-0000-0000-0000AC020000}"/>
    <cellStyle name="Comma 6 7 2" xfId="453" xr:uid="{00000000-0005-0000-0000-0000AD020000}"/>
    <cellStyle name="Comma 6 7 3" xfId="454" xr:uid="{00000000-0005-0000-0000-0000AE020000}"/>
    <cellStyle name="Comma 6 8" xfId="1158" xr:uid="{00000000-0005-0000-0000-0000AF020000}"/>
    <cellStyle name="Comma 6 9" xfId="1361" xr:uid="{00000000-0005-0000-0000-0000B0020000}"/>
    <cellStyle name="Comma 60" xfId="455" xr:uid="{00000000-0005-0000-0000-0000B1020000}"/>
    <cellStyle name="Comma 60 2" xfId="456" xr:uid="{00000000-0005-0000-0000-0000B2020000}"/>
    <cellStyle name="Comma 60 3" xfId="457" xr:uid="{00000000-0005-0000-0000-0000B3020000}"/>
    <cellStyle name="Comma 60 4" xfId="458" xr:uid="{00000000-0005-0000-0000-0000B4020000}"/>
    <cellStyle name="Comma 60 5" xfId="459" xr:uid="{00000000-0005-0000-0000-0000B5020000}"/>
    <cellStyle name="Comma 61" xfId="460" xr:uid="{00000000-0005-0000-0000-0000B6020000}"/>
    <cellStyle name="Comma 61 2" xfId="461" xr:uid="{00000000-0005-0000-0000-0000B7020000}"/>
    <cellStyle name="Comma 61 3" xfId="462" xr:uid="{00000000-0005-0000-0000-0000B8020000}"/>
    <cellStyle name="Comma 61 4" xfId="463" xr:uid="{00000000-0005-0000-0000-0000B9020000}"/>
    <cellStyle name="Comma 61 5" xfId="464" xr:uid="{00000000-0005-0000-0000-0000BA020000}"/>
    <cellStyle name="Comma 62" xfId="465" xr:uid="{00000000-0005-0000-0000-0000BB020000}"/>
    <cellStyle name="Comma 62 2" xfId="466" xr:uid="{00000000-0005-0000-0000-0000BC020000}"/>
    <cellStyle name="Comma 62 3" xfId="467" xr:uid="{00000000-0005-0000-0000-0000BD020000}"/>
    <cellStyle name="Comma 62 4" xfId="468" xr:uid="{00000000-0005-0000-0000-0000BE020000}"/>
    <cellStyle name="Comma 63" xfId="469" xr:uid="{00000000-0005-0000-0000-0000BF020000}"/>
    <cellStyle name="Comma 63 2" xfId="470" xr:uid="{00000000-0005-0000-0000-0000C0020000}"/>
    <cellStyle name="Comma 63 3" xfId="471" xr:uid="{00000000-0005-0000-0000-0000C1020000}"/>
    <cellStyle name="Comma 63 4" xfId="472" xr:uid="{00000000-0005-0000-0000-0000C2020000}"/>
    <cellStyle name="Comma 64" xfId="473" xr:uid="{00000000-0005-0000-0000-0000C3020000}"/>
    <cellStyle name="Comma 64 2" xfId="474" xr:uid="{00000000-0005-0000-0000-0000C4020000}"/>
    <cellStyle name="Comma 64 3" xfId="475" xr:uid="{00000000-0005-0000-0000-0000C5020000}"/>
    <cellStyle name="Comma 64 4" xfId="476" xr:uid="{00000000-0005-0000-0000-0000C6020000}"/>
    <cellStyle name="Comma 65" xfId="477" xr:uid="{00000000-0005-0000-0000-0000C7020000}"/>
    <cellStyle name="Comma 65 2" xfId="478" xr:uid="{00000000-0005-0000-0000-0000C8020000}"/>
    <cellStyle name="Comma 65 3" xfId="479" xr:uid="{00000000-0005-0000-0000-0000C9020000}"/>
    <cellStyle name="Comma 65 4" xfId="480" xr:uid="{00000000-0005-0000-0000-0000CA020000}"/>
    <cellStyle name="Comma 66" xfId="481" xr:uid="{00000000-0005-0000-0000-0000CB020000}"/>
    <cellStyle name="Comma 66 2" xfId="482" xr:uid="{00000000-0005-0000-0000-0000CC020000}"/>
    <cellStyle name="Comma 66 3" xfId="483" xr:uid="{00000000-0005-0000-0000-0000CD020000}"/>
    <cellStyle name="Comma 66 4" xfId="484" xr:uid="{00000000-0005-0000-0000-0000CE020000}"/>
    <cellStyle name="Comma 67" xfId="485" xr:uid="{00000000-0005-0000-0000-0000CF020000}"/>
    <cellStyle name="Comma 67 2" xfId="486" xr:uid="{00000000-0005-0000-0000-0000D0020000}"/>
    <cellStyle name="Comma 67 3" xfId="487" xr:uid="{00000000-0005-0000-0000-0000D1020000}"/>
    <cellStyle name="Comma 67 4" xfId="488" xr:uid="{00000000-0005-0000-0000-0000D2020000}"/>
    <cellStyle name="Comma 68" xfId="489" xr:uid="{00000000-0005-0000-0000-0000D3020000}"/>
    <cellStyle name="Comma 68 2" xfId="490" xr:uid="{00000000-0005-0000-0000-0000D4020000}"/>
    <cellStyle name="Comma 68 3" xfId="491" xr:uid="{00000000-0005-0000-0000-0000D5020000}"/>
    <cellStyle name="Comma 68 4" xfId="492" xr:uid="{00000000-0005-0000-0000-0000D6020000}"/>
    <cellStyle name="Comma 69" xfId="493" xr:uid="{00000000-0005-0000-0000-0000D7020000}"/>
    <cellStyle name="Comma 69 2" xfId="494" xr:uid="{00000000-0005-0000-0000-0000D8020000}"/>
    <cellStyle name="Comma 7" xfId="495" xr:uid="{00000000-0005-0000-0000-0000D9020000}"/>
    <cellStyle name="Comma 7 2" xfId="496" xr:uid="{00000000-0005-0000-0000-0000DA020000}"/>
    <cellStyle name="Comma 7 2 2" xfId="1364" xr:uid="{00000000-0005-0000-0000-0000DB020000}"/>
    <cellStyle name="Comma 7 3" xfId="1182" xr:uid="{00000000-0005-0000-0000-0000DC020000}"/>
    <cellStyle name="Comma 7 4" xfId="1363" xr:uid="{00000000-0005-0000-0000-0000DD020000}"/>
    <cellStyle name="Comma 70" xfId="497" xr:uid="{00000000-0005-0000-0000-0000DE020000}"/>
    <cellStyle name="Comma 70 2" xfId="498" xr:uid="{00000000-0005-0000-0000-0000DF020000}"/>
    <cellStyle name="Comma 71" xfId="499" xr:uid="{00000000-0005-0000-0000-0000E0020000}"/>
    <cellStyle name="Comma 71 2" xfId="500" xr:uid="{00000000-0005-0000-0000-0000E1020000}"/>
    <cellStyle name="Comma 72" xfId="501" xr:uid="{00000000-0005-0000-0000-0000E2020000}"/>
    <cellStyle name="Comma 73" xfId="502" xr:uid="{00000000-0005-0000-0000-0000E3020000}"/>
    <cellStyle name="Comma 74" xfId="503" xr:uid="{00000000-0005-0000-0000-0000E4020000}"/>
    <cellStyle name="Comma 75" xfId="504" xr:uid="{00000000-0005-0000-0000-0000E5020000}"/>
    <cellStyle name="Comma 76" xfId="505" xr:uid="{00000000-0005-0000-0000-0000E6020000}"/>
    <cellStyle name="Comma 77" xfId="506" xr:uid="{00000000-0005-0000-0000-0000E7020000}"/>
    <cellStyle name="Comma 78" xfId="507" xr:uid="{00000000-0005-0000-0000-0000E8020000}"/>
    <cellStyle name="Comma 79" xfId="508" xr:uid="{00000000-0005-0000-0000-0000E9020000}"/>
    <cellStyle name="Comma 8" xfId="509" xr:uid="{00000000-0005-0000-0000-0000EA020000}"/>
    <cellStyle name="Comma 8 2" xfId="1365" xr:uid="{00000000-0005-0000-0000-0000EB020000}"/>
    <cellStyle name="Comma 80" xfId="510" xr:uid="{00000000-0005-0000-0000-0000EC020000}"/>
    <cellStyle name="Comma 81" xfId="511" xr:uid="{00000000-0005-0000-0000-0000ED020000}"/>
    <cellStyle name="Comma 82" xfId="512" xr:uid="{00000000-0005-0000-0000-0000EE020000}"/>
    <cellStyle name="Comma 83" xfId="513" xr:uid="{00000000-0005-0000-0000-0000EF020000}"/>
    <cellStyle name="Comma 84" xfId="514" xr:uid="{00000000-0005-0000-0000-0000F0020000}"/>
    <cellStyle name="Comma 85" xfId="515" xr:uid="{00000000-0005-0000-0000-0000F1020000}"/>
    <cellStyle name="Comma 86" xfId="516" xr:uid="{00000000-0005-0000-0000-0000F2020000}"/>
    <cellStyle name="Comma 87" xfId="517" xr:uid="{00000000-0005-0000-0000-0000F3020000}"/>
    <cellStyle name="Comma 88" xfId="518" xr:uid="{00000000-0005-0000-0000-0000F4020000}"/>
    <cellStyle name="Comma 89" xfId="519" xr:uid="{00000000-0005-0000-0000-0000F5020000}"/>
    <cellStyle name="Comma 9" xfId="520" xr:uid="{00000000-0005-0000-0000-0000F6020000}"/>
    <cellStyle name="Comma 9 2" xfId="1366" xr:uid="{00000000-0005-0000-0000-0000F7020000}"/>
    <cellStyle name="Comma 9 3 2" xfId="1543" xr:uid="{00000000-0005-0000-0000-0000F8020000}"/>
    <cellStyle name="Comma 90" xfId="521" xr:uid="{00000000-0005-0000-0000-0000F9020000}"/>
    <cellStyle name="Comma 91" xfId="522" xr:uid="{00000000-0005-0000-0000-0000FA020000}"/>
    <cellStyle name="Comma 92" xfId="523" xr:uid="{00000000-0005-0000-0000-0000FB020000}"/>
    <cellStyle name="Comma 92 2" xfId="524" xr:uid="{00000000-0005-0000-0000-0000FC020000}"/>
    <cellStyle name="Comma 92 3" xfId="525" xr:uid="{00000000-0005-0000-0000-0000FD020000}"/>
    <cellStyle name="Comma 93" xfId="526" xr:uid="{00000000-0005-0000-0000-0000FE020000}"/>
    <cellStyle name="Comma 93 2" xfId="527" xr:uid="{00000000-0005-0000-0000-0000FF020000}"/>
    <cellStyle name="Comma 93 3" xfId="528" xr:uid="{00000000-0005-0000-0000-000000030000}"/>
    <cellStyle name="Comma 94" xfId="529" xr:uid="{00000000-0005-0000-0000-000001030000}"/>
    <cellStyle name="Comma 95" xfId="530" xr:uid="{00000000-0005-0000-0000-000002030000}"/>
    <cellStyle name="Comma 96" xfId="531" xr:uid="{00000000-0005-0000-0000-000003030000}"/>
    <cellStyle name="Comma 97" xfId="532" xr:uid="{00000000-0005-0000-0000-000004030000}"/>
    <cellStyle name="Comma 98" xfId="533" xr:uid="{00000000-0005-0000-0000-000005030000}"/>
    <cellStyle name="Comma 99" xfId="534" xr:uid="{00000000-0005-0000-0000-000006030000}"/>
    <cellStyle name="Comma_spp calc - revsd rev crd" xfId="535" xr:uid="{00000000-0005-0000-0000-000007030000}"/>
    <cellStyle name="Comma0" xfId="536" xr:uid="{00000000-0005-0000-0000-000008030000}"/>
    <cellStyle name="Comma0 2" xfId="537" xr:uid="{00000000-0005-0000-0000-000009030000}"/>
    <cellStyle name="Comma0 2 2" xfId="538" xr:uid="{00000000-0005-0000-0000-00000A030000}"/>
    <cellStyle name="Comma0 2 3" xfId="539" xr:uid="{00000000-0005-0000-0000-00000B030000}"/>
    <cellStyle name="Comma0 2 4" xfId="540" xr:uid="{00000000-0005-0000-0000-00000C030000}"/>
    <cellStyle name="Comma0 2 5" xfId="541" xr:uid="{00000000-0005-0000-0000-00000D030000}"/>
    <cellStyle name="Comma0 2 6" xfId="542" xr:uid="{00000000-0005-0000-0000-00000E030000}"/>
    <cellStyle name="Comma0 3" xfId="543" xr:uid="{00000000-0005-0000-0000-00000F030000}"/>
    <cellStyle name="Comma0 4" xfId="1367" xr:uid="{00000000-0005-0000-0000-000010030000}"/>
    <cellStyle name="Currency" xfId="1536" builtinId="4"/>
    <cellStyle name="Currency 10" xfId="544" xr:uid="{00000000-0005-0000-0000-000012030000}"/>
    <cellStyle name="Currency 11" xfId="545" xr:uid="{00000000-0005-0000-0000-000013030000}"/>
    <cellStyle name="Currency 11 2" xfId="546" xr:uid="{00000000-0005-0000-0000-000014030000}"/>
    <cellStyle name="Currency 11 3" xfId="547" xr:uid="{00000000-0005-0000-0000-000015030000}"/>
    <cellStyle name="Currency 12" xfId="548" xr:uid="{00000000-0005-0000-0000-000016030000}"/>
    <cellStyle name="Currency 12 2" xfId="549" xr:uid="{00000000-0005-0000-0000-000017030000}"/>
    <cellStyle name="Currency 13" xfId="550" xr:uid="{00000000-0005-0000-0000-000018030000}"/>
    <cellStyle name="Currency 2" xfId="551" xr:uid="{00000000-0005-0000-0000-000019030000}"/>
    <cellStyle name="Currency 2 2" xfId="552" xr:uid="{00000000-0005-0000-0000-00001A030000}"/>
    <cellStyle name="Currency 2 2 2" xfId="553" xr:uid="{00000000-0005-0000-0000-00001B030000}"/>
    <cellStyle name="Currency 2 2 3" xfId="1368" xr:uid="{00000000-0005-0000-0000-00001C030000}"/>
    <cellStyle name="Currency 2 3" xfId="554" xr:uid="{00000000-0005-0000-0000-00001D030000}"/>
    <cellStyle name="Currency 2 4" xfId="1181" xr:uid="{00000000-0005-0000-0000-00001E030000}"/>
    <cellStyle name="Currency 3" xfId="555" xr:uid="{00000000-0005-0000-0000-00001F030000}"/>
    <cellStyle name="Currency 3 10" xfId="556" xr:uid="{00000000-0005-0000-0000-000020030000}"/>
    <cellStyle name="Currency 3 10 2" xfId="557" xr:uid="{00000000-0005-0000-0000-000021030000}"/>
    <cellStyle name="Currency 3 10 3" xfId="558" xr:uid="{00000000-0005-0000-0000-000022030000}"/>
    <cellStyle name="Currency 3 11" xfId="559" xr:uid="{00000000-0005-0000-0000-000023030000}"/>
    <cellStyle name="Currency 3 11 2" xfId="560" xr:uid="{00000000-0005-0000-0000-000024030000}"/>
    <cellStyle name="Currency 3 12" xfId="561" xr:uid="{00000000-0005-0000-0000-000025030000}"/>
    <cellStyle name="Currency 3 12 2" xfId="562" xr:uid="{00000000-0005-0000-0000-000026030000}"/>
    <cellStyle name="Currency 3 13" xfId="563" xr:uid="{00000000-0005-0000-0000-000027030000}"/>
    <cellStyle name="Currency 3 13 2" xfId="564" xr:uid="{00000000-0005-0000-0000-000028030000}"/>
    <cellStyle name="Currency 3 14" xfId="565" xr:uid="{00000000-0005-0000-0000-000029030000}"/>
    <cellStyle name="Currency 3 15" xfId="1369" xr:uid="{00000000-0005-0000-0000-00002A030000}"/>
    <cellStyle name="Currency 3 2" xfId="566" xr:uid="{00000000-0005-0000-0000-00002B030000}"/>
    <cellStyle name="Currency 3 2 2" xfId="567" xr:uid="{00000000-0005-0000-0000-00002C030000}"/>
    <cellStyle name="Currency 3 2 3" xfId="1483" xr:uid="{00000000-0005-0000-0000-00002D030000}"/>
    <cellStyle name="Currency 3 3" xfId="568" xr:uid="{00000000-0005-0000-0000-00002E030000}"/>
    <cellStyle name="Currency 3 3 2" xfId="569" xr:uid="{00000000-0005-0000-0000-00002F030000}"/>
    <cellStyle name="Currency 3 3 2 2" xfId="570" xr:uid="{00000000-0005-0000-0000-000030030000}"/>
    <cellStyle name="Currency 3 3 2 3" xfId="571" xr:uid="{00000000-0005-0000-0000-000031030000}"/>
    <cellStyle name="Currency 3 3 3" xfId="572" xr:uid="{00000000-0005-0000-0000-000032030000}"/>
    <cellStyle name="Currency 3 3 3 2" xfId="573" xr:uid="{00000000-0005-0000-0000-000033030000}"/>
    <cellStyle name="Currency 3 3 3 2 2" xfId="574" xr:uid="{00000000-0005-0000-0000-000034030000}"/>
    <cellStyle name="Currency 3 3 3 2 3" xfId="575" xr:uid="{00000000-0005-0000-0000-000035030000}"/>
    <cellStyle name="Currency 3 3 3 2 4" xfId="576" xr:uid="{00000000-0005-0000-0000-000036030000}"/>
    <cellStyle name="Currency 3 3 3 2 5" xfId="577" xr:uid="{00000000-0005-0000-0000-000037030000}"/>
    <cellStyle name="Currency 3 3 3 3" xfId="578" xr:uid="{00000000-0005-0000-0000-000038030000}"/>
    <cellStyle name="Currency 3 3 4" xfId="579" xr:uid="{00000000-0005-0000-0000-000039030000}"/>
    <cellStyle name="Currency 3 3 5" xfId="580" xr:uid="{00000000-0005-0000-0000-00003A030000}"/>
    <cellStyle name="Currency 3 3 5 2" xfId="581" xr:uid="{00000000-0005-0000-0000-00003B030000}"/>
    <cellStyle name="Currency 3 3 5 3" xfId="582" xr:uid="{00000000-0005-0000-0000-00003C030000}"/>
    <cellStyle name="Currency 3 3 5 4" xfId="583" xr:uid="{00000000-0005-0000-0000-00003D030000}"/>
    <cellStyle name="Currency 3 3 5 5" xfId="584" xr:uid="{00000000-0005-0000-0000-00003E030000}"/>
    <cellStyle name="Currency 3 3 6" xfId="585" xr:uid="{00000000-0005-0000-0000-00003F030000}"/>
    <cellStyle name="Currency 3 3 7" xfId="1482" xr:uid="{00000000-0005-0000-0000-000040030000}"/>
    <cellStyle name="Currency 3 4" xfId="586" xr:uid="{00000000-0005-0000-0000-000041030000}"/>
    <cellStyle name="Currency 3 4 2" xfId="587" xr:uid="{00000000-0005-0000-0000-000042030000}"/>
    <cellStyle name="Currency 3 4 3" xfId="588" xr:uid="{00000000-0005-0000-0000-000043030000}"/>
    <cellStyle name="Currency 3 4 4" xfId="589" xr:uid="{00000000-0005-0000-0000-000044030000}"/>
    <cellStyle name="Currency 3 4 4 2" xfId="590" xr:uid="{00000000-0005-0000-0000-000045030000}"/>
    <cellStyle name="Currency 3 4 4 3" xfId="591" xr:uid="{00000000-0005-0000-0000-000046030000}"/>
    <cellStyle name="Currency 3 4 4 4" xfId="592" xr:uid="{00000000-0005-0000-0000-000047030000}"/>
    <cellStyle name="Currency 3 4 4 5" xfId="593" xr:uid="{00000000-0005-0000-0000-000048030000}"/>
    <cellStyle name="Currency 3 4 5" xfId="594" xr:uid="{00000000-0005-0000-0000-000049030000}"/>
    <cellStyle name="Currency 3 4 6" xfId="1521" xr:uid="{00000000-0005-0000-0000-00004A030000}"/>
    <cellStyle name="Currency 3 5" xfId="595" xr:uid="{00000000-0005-0000-0000-00004B030000}"/>
    <cellStyle name="Currency 3 5 2" xfId="596" xr:uid="{00000000-0005-0000-0000-00004C030000}"/>
    <cellStyle name="Currency 3 6" xfId="597" xr:uid="{00000000-0005-0000-0000-00004D030000}"/>
    <cellStyle name="Currency 3 6 2" xfId="1128" xr:uid="{00000000-0005-0000-0000-00004E030000}"/>
    <cellStyle name="Currency 3 7" xfId="598" xr:uid="{00000000-0005-0000-0000-00004F030000}"/>
    <cellStyle name="Currency 3 8" xfId="599" xr:uid="{00000000-0005-0000-0000-000050030000}"/>
    <cellStyle name="Currency 3 9" xfId="600" xr:uid="{00000000-0005-0000-0000-000051030000}"/>
    <cellStyle name="Currency 4" xfId="601" xr:uid="{00000000-0005-0000-0000-000052030000}"/>
    <cellStyle name="Currency 4 10" xfId="602" xr:uid="{00000000-0005-0000-0000-000053030000}"/>
    <cellStyle name="Currency 4 10 2" xfId="603" xr:uid="{00000000-0005-0000-0000-000054030000}"/>
    <cellStyle name="Currency 4 10 2 2" xfId="604" xr:uid="{00000000-0005-0000-0000-000055030000}"/>
    <cellStyle name="Currency 4 10 2 2 2" xfId="605" xr:uid="{00000000-0005-0000-0000-000056030000}"/>
    <cellStyle name="Currency 4 10 2 3" xfId="606" xr:uid="{00000000-0005-0000-0000-000057030000}"/>
    <cellStyle name="Currency 4 10 2 3 2" xfId="607" xr:uid="{00000000-0005-0000-0000-000058030000}"/>
    <cellStyle name="Currency 4 10 2 4" xfId="608" xr:uid="{00000000-0005-0000-0000-000059030000}"/>
    <cellStyle name="Currency 4 10 2 5" xfId="609" xr:uid="{00000000-0005-0000-0000-00005A030000}"/>
    <cellStyle name="Currency 4 10 2 6" xfId="610" xr:uid="{00000000-0005-0000-0000-00005B030000}"/>
    <cellStyle name="Currency 4 10 3" xfId="611" xr:uid="{00000000-0005-0000-0000-00005C030000}"/>
    <cellStyle name="Currency 4 10 3 2" xfId="612" xr:uid="{00000000-0005-0000-0000-00005D030000}"/>
    <cellStyle name="Currency 4 10 4" xfId="613" xr:uid="{00000000-0005-0000-0000-00005E030000}"/>
    <cellStyle name="Currency 4 10 4 2" xfId="614" xr:uid="{00000000-0005-0000-0000-00005F030000}"/>
    <cellStyle name="Currency 4 10 4 3" xfId="615" xr:uid="{00000000-0005-0000-0000-000060030000}"/>
    <cellStyle name="Currency 4 10 5" xfId="616" xr:uid="{00000000-0005-0000-0000-000061030000}"/>
    <cellStyle name="Currency 4 10 5 2" xfId="617" xr:uid="{00000000-0005-0000-0000-000062030000}"/>
    <cellStyle name="Currency 4 10 6" xfId="618" xr:uid="{00000000-0005-0000-0000-000063030000}"/>
    <cellStyle name="Currency 4 2" xfId="619" xr:uid="{00000000-0005-0000-0000-000064030000}"/>
    <cellStyle name="Currency 4 2 2" xfId="620" xr:uid="{00000000-0005-0000-0000-000065030000}"/>
    <cellStyle name="Currency 4 2 3" xfId="621" xr:uid="{00000000-0005-0000-0000-000066030000}"/>
    <cellStyle name="Currency 4 3" xfId="622" xr:uid="{00000000-0005-0000-0000-000067030000}"/>
    <cellStyle name="Currency 4 3 2" xfId="623" xr:uid="{00000000-0005-0000-0000-000068030000}"/>
    <cellStyle name="Currency 4 3 2 2" xfId="624" xr:uid="{00000000-0005-0000-0000-000069030000}"/>
    <cellStyle name="Currency 4 3 2 3" xfId="625" xr:uid="{00000000-0005-0000-0000-00006A030000}"/>
    <cellStyle name="Currency 4 3 2 4" xfId="626" xr:uid="{00000000-0005-0000-0000-00006B030000}"/>
    <cellStyle name="Currency 4 3 2 5" xfId="627" xr:uid="{00000000-0005-0000-0000-00006C030000}"/>
    <cellStyle name="Currency 4 3 3" xfId="628" xr:uid="{00000000-0005-0000-0000-00006D030000}"/>
    <cellStyle name="Currency 4 4" xfId="629" xr:uid="{00000000-0005-0000-0000-00006E030000}"/>
    <cellStyle name="Currency 4 5" xfId="630" xr:uid="{00000000-0005-0000-0000-00006F030000}"/>
    <cellStyle name="Currency 4 5 2" xfId="631" xr:uid="{00000000-0005-0000-0000-000070030000}"/>
    <cellStyle name="Currency 4 5 3" xfId="632" xr:uid="{00000000-0005-0000-0000-000071030000}"/>
    <cellStyle name="Currency 4 5 4" xfId="633" xr:uid="{00000000-0005-0000-0000-000072030000}"/>
    <cellStyle name="Currency 4 5 5" xfId="634" xr:uid="{00000000-0005-0000-0000-000073030000}"/>
    <cellStyle name="Currency 4 6" xfId="1160" xr:uid="{00000000-0005-0000-0000-000074030000}"/>
    <cellStyle name="Currency 4 7" xfId="1370" xr:uid="{00000000-0005-0000-0000-000075030000}"/>
    <cellStyle name="Currency 5" xfId="635" xr:uid="{00000000-0005-0000-0000-000076030000}"/>
    <cellStyle name="Currency 5 2" xfId="636" xr:uid="{00000000-0005-0000-0000-000077030000}"/>
    <cellStyle name="Currency 5 2 2" xfId="1372" xr:uid="{00000000-0005-0000-0000-000078030000}"/>
    <cellStyle name="Currency 5 3" xfId="637" xr:uid="{00000000-0005-0000-0000-000079030000}"/>
    <cellStyle name="Currency 5 4" xfId="638" xr:uid="{00000000-0005-0000-0000-00007A030000}"/>
    <cellStyle name="Currency 5 4 2" xfId="639" xr:uid="{00000000-0005-0000-0000-00007B030000}"/>
    <cellStyle name="Currency 5 4 3" xfId="640" xr:uid="{00000000-0005-0000-0000-00007C030000}"/>
    <cellStyle name="Currency 5 4 4" xfId="641" xr:uid="{00000000-0005-0000-0000-00007D030000}"/>
    <cellStyle name="Currency 5 4 5" xfId="642" xr:uid="{00000000-0005-0000-0000-00007E030000}"/>
    <cellStyle name="Currency 5 5" xfId="643" xr:uid="{00000000-0005-0000-0000-00007F030000}"/>
    <cellStyle name="Currency 5 6" xfId="1371" xr:uid="{00000000-0005-0000-0000-000080030000}"/>
    <cellStyle name="Currency 6" xfId="644" xr:uid="{00000000-0005-0000-0000-000081030000}"/>
    <cellStyle name="Currency 6 2" xfId="645" xr:uid="{00000000-0005-0000-0000-000082030000}"/>
    <cellStyle name="Currency 6 2 2" xfId="1373" xr:uid="{00000000-0005-0000-0000-000083030000}"/>
    <cellStyle name="Currency 6 3" xfId="646" xr:uid="{00000000-0005-0000-0000-000084030000}"/>
    <cellStyle name="Currency 6 3 2" xfId="647" xr:uid="{00000000-0005-0000-0000-000085030000}"/>
    <cellStyle name="Currency 6 3 3" xfId="648" xr:uid="{00000000-0005-0000-0000-000086030000}"/>
    <cellStyle name="Currency 6 3 4" xfId="649" xr:uid="{00000000-0005-0000-0000-000087030000}"/>
    <cellStyle name="Currency 6 3 5" xfId="650" xr:uid="{00000000-0005-0000-0000-000088030000}"/>
    <cellStyle name="Currency 6 4" xfId="651" xr:uid="{00000000-0005-0000-0000-000089030000}"/>
    <cellStyle name="Currency 6 4 2" xfId="652" xr:uid="{00000000-0005-0000-0000-00008A030000}"/>
    <cellStyle name="Currency 6 4 3" xfId="653" xr:uid="{00000000-0005-0000-0000-00008B030000}"/>
    <cellStyle name="Currency 6 5" xfId="1161" xr:uid="{00000000-0005-0000-0000-00008C030000}"/>
    <cellStyle name="Currency 7" xfId="654" xr:uid="{00000000-0005-0000-0000-00008D030000}"/>
    <cellStyle name="Currency 7 2" xfId="1204" xr:uid="{00000000-0005-0000-0000-00008E030000}"/>
    <cellStyle name="Currency 8" xfId="655" xr:uid="{00000000-0005-0000-0000-00008F030000}"/>
    <cellStyle name="Currency 8 2" xfId="1481" xr:uid="{00000000-0005-0000-0000-000090030000}"/>
    <cellStyle name="Currency 9" xfId="656" xr:uid="{00000000-0005-0000-0000-000091030000}"/>
    <cellStyle name="Currency0" xfId="657" xr:uid="{00000000-0005-0000-0000-000092030000}"/>
    <cellStyle name="Currency0 2" xfId="658" xr:uid="{00000000-0005-0000-0000-000093030000}"/>
    <cellStyle name="Currency0 2 2" xfId="659" xr:uid="{00000000-0005-0000-0000-000094030000}"/>
    <cellStyle name="Currency0 2 3" xfId="660" xr:uid="{00000000-0005-0000-0000-000095030000}"/>
    <cellStyle name="Currency0 2 4" xfId="661" xr:uid="{00000000-0005-0000-0000-000096030000}"/>
    <cellStyle name="Currency0 2 5" xfId="662" xr:uid="{00000000-0005-0000-0000-000097030000}"/>
    <cellStyle name="Currency0 2 6" xfId="663" xr:uid="{00000000-0005-0000-0000-000098030000}"/>
    <cellStyle name="Currency0 3" xfId="664" xr:uid="{00000000-0005-0000-0000-000099030000}"/>
    <cellStyle name="Currency0 4" xfId="1374" xr:uid="{00000000-0005-0000-0000-00009A030000}"/>
    <cellStyle name="Date" xfId="665" xr:uid="{00000000-0005-0000-0000-00009B030000}"/>
    <cellStyle name="Date 2" xfId="666" xr:uid="{00000000-0005-0000-0000-00009C030000}"/>
    <cellStyle name="Date 2 2" xfId="667" xr:uid="{00000000-0005-0000-0000-00009D030000}"/>
    <cellStyle name="Date 2 3" xfId="668" xr:uid="{00000000-0005-0000-0000-00009E030000}"/>
    <cellStyle name="Date 2 4" xfId="669" xr:uid="{00000000-0005-0000-0000-00009F030000}"/>
    <cellStyle name="Date 2 5" xfId="670" xr:uid="{00000000-0005-0000-0000-0000A0030000}"/>
    <cellStyle name="Date 2 6" xfId="671" xr:uid="{00000000-0005-0000-0000-0000A1030000}"/>
    <cellStyle name="Date 3" xfId="672" xr:uid="{00000000-0005-0000-0000-0000A2030000}"/>
    <cellStyle name="Date 4" xfId="1375" xr:uid="{00000000-0005-0000-0000-0000A3030000}"/>
    <cellStyle name="Explanatory Text" xfId="673" builtinId="53" customBuiltin="1"/>
    <cellStyle name="Explanatory Text 2" xfId="674" xr:uid="{00000000-0005-0000-0000-0000A5030000}"/>
    <cellStyle name="Explanatory Text 2 2" xfId="675" xr:uid="{00000000-0005-0000-0000-0000A6030000}"/>
    <cellStyle name="Explanatory Text 2 3" xfId="676" xr:uid="{00000000-0005-0000-0000-0000A7030000}"/>
    <cellStyle name="Explanatory Text 2 4" xfId="677" xr:uid="{00000000-0005-0000-0000-0000A8030000}"/>
    <cellStyle name="Explanatory Text 2 5" xfId="678" xr:uid="{00000000-0005-0000-0000-0000A9030000}"/>
    <cellStyle name="Explanatory Text 3" xfId="1376" xr:uid="{00000000-0005-0000-0000-0000AA030000}"/>
    <cellStyle name="Explanatory Text 4" xfId="1484" xr:uid="{00000000-0005-0000-0000-0000AB030000}"/>
    <cellStyle name="Fixed" xfId="679" xr:uid="{00000000-0005-0000-0000-0000AC030000}"/>
    <cellStyle name="Fixed 2" xfId="680" xr:uid="{00000000-0005-0000-0000-0000AD030000}"/>
    <cellStyle name="Fixed 2 2" xfId="681" xr:uid="{00000000-0005-0000-0000-0000AE030000}"/>
    <cellStyle name="Fixed 2 3" xfId="682" xr:uid="{00000000-0005-0000-0000-0000AF030000}"/>
    <cellStyle name="Fixed 2 4" xfId="683" xr:uid="{00000000-0005-0000-0000-0000B0030000}"/>
    <cellStyle name="Fixed 2 5" xfId="684" xr:uid="{00000000-0005-0000-0000-0000B1030000}"/>
    <cellStyle name="Fixed 2 6" xfId="685" xr:uid="{00000000-0005-0000-0000-0000B2030000}"/>
    <cellStyle name="Fixed 3" xfId="686" xr:uid="{00000000-0005-0000-0000-0000B3030000}"/>
    <cellStyle name="Fixed 4" xfId="1377" xr:uid="{00000000-0005-0000-0000-0000B4030000}"/>
    <cellStyle name="Good" xfId="687" builtinId="26" customBuiltin="1"/>
    <cellStyle name="Good 2" xfId="688" xr:uid="{00000000-0005-0000-0000-0000B6030000}"/>
    <cellStyle name="Good 2 2" xfId="689" xr:uid="{00000000-0005-0000-0000-0000B7030000}"/>
    <cellStyle name="Good 2 3" xfId="690" xr:uid="{00000000-0005-0000-0000-0000B8030000}"/>
    <cellStyle name="Good 2 4" xfId="691" xr:uid="{00000000-0005-0000-0000-0000B9030000}"/>
    <cellStyle name="Good 2 5" xfId="692" xr:uid="{00000000-0005-0000-0000-0000BA030000}"/>
    <cellStyle name="Good 3" xfId="1378" xr:uid="{00000000-0005-0000-0000-0000BB030000}"/>
    <cellStyle name="Good 4" xfId="1485" xr:uid="{00000000-0005-0000-0000-0000BC030000}"/>
    <cellStyle name="Heading 1" xfId="693" builtinId="16" customBuiltin="1"/>
    <cellStyle name="Heading 1 2" xfId="694" xr:uid="{00000000-0005-0000-0000-0000BE030000}"/>
    <cellStyle name="Heading 1 2 2" xfId="695" xr:uid="{00000000-0005-0000-0000-0000BF030000}"/>
    <cellStyle name="Heading 1 2 3" xfId="696" xr:uid="{00000000-0005-0000-0000-0000C0030000}"/>
    <cellStyle name="Heading 1 2 4" xfId="697" xr:uid="{00000000-0005-0000-0000-0000C1030000}"/>
    <cellStyle name="Heading 1 2 5" xfId="698" xr:uid="{00000000-0005-0000-0000-0000C2030000}"/>
    <cellStyle name="Heading 1 2 6" xfId="1379" xr:uid="{00000000-0005-0000-0000-0000C3030000}"/>
    <cellStyle name="Heading 1 3" xfId="699" xr:uid="{00000000-0005-0000-0000-0000C4030000}"/>
    <cellStyle name="Heading 1 3 2" xfId="700" xr:uid="{00000000-0005-0000-0000-0000C5030000}"/>
    <cellStyle name="Heading 1 3 3" xfId="1380" xr:uid="{00000000-0005-0000-0000-0000C6030000}"/>
    <cellStyle name="Heading 1 4" xfId="1381" xr:uid="{00000000-0005-0000-0000-0000C7030000}"/>
    <cellStyle name="Heading 2" xfId="701" builtinId="17" customBuiltin="1"/>
    <cellStyle name="Heading 2 2" xfId="702" xr:uid="{00000000-0005-0000-0000-0000C9030000}"/>
    <cellStyle name="Heading 2 2 2" xfId="703" xr:uid="{00000000-0005-0000-0000-0000CA030000}"/>
    <cellStyle name="Heading 2 2 3" xfId="704" xr:uid="{00000000-0005-0000-0000-0000CB030000}"/>
    <cellStyle name="Heading 2 2 4" xfId="705" xr:uid="{00000000-0005-0000-0000-0000CC030000}"/>
    <cellStyle name="Heading 2 2 5" xfId="706" xr:uid="{00000000-0005-0000-0000-0000CD030000}"/>
    <cellStyle name="Heading 2 2 6" xfId="1382" xr:uid="{00000000-0005-0000-0000-0000CE030000}"/>
    <cellStyle name="Heading 2 3" xfId="707" xr:uid="{00000000-0005-0000-0000-0000CF030000}"/>
    <cellStyle name="Heading 2 3 2" xfId="708" xr:uid="{00000000-0005-0000-0000-0000D0030000}"/>
    <cellStyle name="Heading 2 3 3" xfId="1383" xr:uid="{00000000-0005-0000-0000-0000D1030000}"/>
    <cellStyle name="Heading 2 4" xfId="1384" xr:uid="{00000000-0005-0000-0000-0000D2030000}"/>
    <cellStyle name="Heading 3" xfId="709" builtinId="18" customBuiltin="1"/>
    <cellStyle name="Heading 3 2" xfId="710" xr:uid="{00000000-0005-0000-0000-0000D4030000}"/>
    <cellStyle name="Heading 3 2 2" xfId="711" xr:uid="{00000000-0005-0000-0000-0000D5030000}"/>
    <cellStyle name="Heading 3 2 3" xfId="712" xr:uid="{00000000-0005-0000-0000-0000D6030000}"/>
    <cellStyle name="Heading 3 2 4" xfId="713" xr:uid="{00000000-0005-0000-0000-0000D7030000}"/>
    <cellStyle name="Heading 3 2 5" xfId="714" xr:uid="{00000000-0005-0000-0000-0000D8030000}"/>
    <cellStyle name="Heading 3 2 6" xfId="1385" xr:uid="{00000000-0005-0000-0000-0000D9030000}"/>
    <cellStyle name="Heading 3 3" xfId="1386" xr:uid="{00000000-0005-0000-0000-0000DA030000}"/>
    <cellStyle name="Heading 3 4" xfId="1387" xr:uid="{00000000-0005-0000-0000-0000DB030000}"/>
    <cellStyle name="Heading 3 5" xfId="1486" xr:uid="{00000000-0005-0000-0000-0000DC030000}"/>
    <cellStyle name="Heading 4" xfId="715" builtinId="19" customBuiltin="1"/>
    <cellStyle name="Heading 4 2" xfId="716" xr:uid="{00000000-0005-0000-0000-0000DE030000}"/>
    <cellStyle name="Heading 4 2 2" xfId="717" xr:uid="{00000000-0005-0000-0000-0000DF030000}"/>
    <cellStyle name="Heading 4 2 3" xfId="718" xr:uid="{00000000-0005-0000-0000-0000E0030000}"/>
    <cellStyle name="Heading 4 2 4" xfId="719" xr:uid="{00000000-0005-0000-0000-0000E1030000}"/>
    <cellStyle name="Heading 4 2 5" xfId="720" xr:uid="{00000000-0005-0000-0000-0000E2030000}"/>
    <cellStyle name="Heading 4 2 6" xfId="1388" xr:uid="{00000000-0005-0000-0000-0000E3030000}"/>
    <cellStyle name="Heading 4 3" xfId="1389" xr:uid="{00000000-0005-0000-0000-0000E4030000}"/>
    <cellStyle name="Heading 4 4" xfId="1390" xr:uid="{00000000-0005-0000-0000-0000E5030000}"/>
    <cellStyle name="Heading 4 5" xfId="1487" xr:uid="{00000000-0005-0000-0000-0000E6030000}"/>
    <cellStyle name="Heading1" xfId="721" xr:uid="{00000000-0005-0000-0000-0000E7030000}"/>
    <cellStyle name="Heading2" xfId="722" xr:uid="{00000000-0005-0000-0000-0000E8030000}"/>
    <cellStyle name="Hyperlink 2" xfId="1391" xr:uid="{00000000-0005-0000-0000-0000E9030000}"/>
    <cellStyle name="Hyperlink 3" xfId="1392" xr:uid="{00000000-0005-0000-0000-0000EA030000}"/>
    <cellStyle name="Hyperlink 4" xfId="1393" xr:uid="{00000000-0005-0000-0000-0000EB030000}"/>
    <cellStyle name="Input" xfId="723" builtinId="20" customBuiltin="1"/>
    <cellStyle name="Input 2" xfId="724" xr:uid="{00000000-0005-0000-0000-0000ED030000}"/>
    <cellStyle name="Input 2 2" xfId="725" xr:uid="{00000000-0005-0000-0000-0000EE030000}"/>
    <cellStyle name="Input 2 3" xfId="726" xr:uid="{00000000-0005-0000-0000-0000EF030000}"/>
    <cellStyle name="Input 2 4" xfId="727" xr:uid="{00000000-0005-0000-0000-0000F0030000}"/>
    <cellStyle name="Input 2 5" xfId="728" xr:uid="{00000000-0005-0000-0000-0000F1030000}"/>
    <cellStyle name="Input 3" xfId="1394" xr:uid="{00000000-0005-0000-0000-0000F2030000}"/>
    <cellStyle name="Input 4" xfId="1488" xr:uid="{00000000-0005-0000-0000-0000F3030000}"/>
    <cellStyle name="Linked Cell" xfId="729" builtinId="24" customBuiltin="1"/>
    <cellStyle name="Linked Cell 2" xfId="730" xr:uid="{00000000-0005-0000-0000-0000F5030000}"/>
    <cellStyle name="Linked Cell 2 2" xfId="731" xr:uid="{00000000-0005-0000-0000-0000F6030000}"/>
    <cellStyle name="Linked Cell 2 3" xfId="732" xr:uid="{00000000-0005-0000-0000-0000F7030000}"/>
    <cellStyle name="Linked Cell 2 4" xfId="733" xr:uid="{00000000-0005-0000-0000-0000F8030000}"/>
    <cellStyle name="Linked Cell 2 5" xfId="734" xr:uid="{00000000-0005-0000-0000-0000F9030000}"/>
    <cellStyle name="Linked Cell 3" xfId="1395" xr:uid="{00000000-0005-0000-0000-0000FA030000}"/>
    <cellStyle name="Linked Cell 4" xfId="1489" xr:uid="{00000000-0005-0000-0000-0000FB030000}"/>
    <cellStyle name="M" xfId="735" xr:uid="{00000000-0005-0000-0000-0000FC030000}"/>
    <cellStyle name="M 2" xfId="736" xr:uid="{00000000-0005-0000-0000-0000FD030000}"/>
    <cellStyle name="M 2 2" xfId="737" xr:uid="{00000000-0005-0000-0000-0000FE030000}"/>
    <cellStyle name="M 2 2 2" xfId="738" xr:uid="{00000000-0005-0000-0000-0000FF030000}"/>
    <cellStyle name="M 3" xfId="739" xr:uid="{00000000-0005-0000-0000-000000040000}"/>
    <cellStyle name="M 3 2" xfId="740" xr:uid="{00000000-0005-0000-0000-000001040000}"/>
    <cellStyle name="M 3 2 2" xfId="741" xr:uid="{00000000-0005-0000-0000-000002040000}"/>
    <cellStyle name="M 4" xfId="742" xr:uid="{00000000-0005-0000-0000-000003040000}"/>
    <cellStyle name="M 5" xfId="743" xr:uid="{00000000-0005-0000-0000-000004040000}"/>
    <cellStyle name="M 5 2" xfId="744" xr:uid="{00000000-0005-0000-0000-000005040000}"/>
    <cellStyle name="M 6" xfId="745" xr:uid="{00000000-0005-0000-0000-000006040000}"/>
    <cellStyle name="M 6 2" xfId="746" xr:uid="{00000000-0005-0000-0000-000007040000}"/>
    <cellStyle name="M 7" xfId="747" xr:uid="{00000000-0005-0000-0000-000008040000}"/>
    <cellStyle name="Neutral" xfId="748" builtinId="28" customBuiltin="1"/>
    <cellStyle name="Neutral 2" xfId="749" xr:uid="{00000000-0005-0000-0000-00000A040000}"/>
    <cellStyle name="Neutral 2 2" xfId="750" xr:uid="{00000000-0005-0000-0000-00000B040000}"/>
    <cellStyle name="Neutral 2 3" xfId="751" xr:uid="{00000000-0005-0000-0000-00000C040000}"/>
    <cellStyle name="Neutral 2 4" xfId="752" xr:uid="{00000000-0005-0000-0000-00000D040000}"/>
    <cellStyle name="Neutral 2 5" xfId="753" xr:uid="{00000000-0005-0000-0000-00000E040000}"/>
    <cellStyle name="Neutral 3" xfId="1396" xr:uid="{00000000-0005-0000-0000-00000F040000}"/>
    <cellStyle name="Neutral 4" xfId="1490" xr:uid="{00000000-0005-0000-0000-000010040000}"/>
    <cellStyle name="Normal" xfId="0" builtinId="0"/>
    <cellStyle name="Normal 10" xfId="754" xr:uid="{00000000-0005-0000-0000-000012040000}"/>
    <cellStyle name="Normal 10 2" xfId="755" xr:uid="{00000000-0005-0000-0000-000013040000}"/>
    <cellStyle name="Normal 10 2 2" xfId="756" xr:uid="{00000000-0005-0000-0000-000014040000}"/>
    <cellStyle name="Normal 10 2 3" xfId="1398" xr:uid="{00000000-0005-0000-0000-000015040000}"/>
    <cellStyle name="Normal 10 3" xfId="757" xr:uid="{00000000-0005-0000-0000-000016040000}"/>
    <cellStyle name="Normal 10 4" xfId="1397" xr:uid="{00000000-0005-0000-0000-000017040000}"/>
    <cellStyle name="Normal 11" xfId="758" xr:uid="{00000000-0005-0000-0000-000018040000}"/>
    <cellStyle name="Normal 11 2" xfId="759" xr:uid="{00000000-0005-0000-0000-000019040000}"/>
    <cellStyle name="Normal 11 2 2" xfId="760" xr:uid="{00000000-0005-0000-0000-00001A040000}"/>
    <cellStyle name="Normal 11 2 2 2" xfId="1528" xr:uid="{00000000-0005-0000-0000-00001B040000}"/>
    <cellStyle name="Normal 11 2 3" xfId="1400" xr:uid="{00000000-0005-0000-0000-00001C040000}"/>
    <cellStyle name="Normal 11 3" xfId="761" xr:uid="{00000000-0005-0000-0000-00001D040000}"/>
    <cellStyle name="Normal 11 3 2" xfId="1162" xr:uid="{00000000-0005-0000-0000-00001E040000}"/>
    <cellStyle name="Normal 11 4" xfId="762" xr:uid="{00000000-0005-0000-0000-00001F040000}"/>
    <cellStyle name="Normal 11 5" xfId="1399" xr:uid="{00000000-0005-0000-0000-000020040000}"/>
    <cellStyle name="Normal 12" xfId="763" xr:uid="{00000000-0005-0000-0000-000021040000}"/>
    <cellStyle name="Normal 12 2" xfId="764" xr:uid="{00000000-0005-0000-0000-000022040000}"/>
    <cellStyle name="Normal 12 2 2" xfId="1163" xr:uid="{00000000-0005-0000-0000-000023040000}"/>
    <cellStyle name="Normal 12 2 3" xfId="1402" xr:uid="{00000000-0005-0000-0000-000024040000}"/>
    <cellStyle name="Normal 12 3" xfId="765" xr:uid="{00000000-0005-0000-0000-000025040000}"/>
    <cellStyle name="Normal 12 4" xfId="766" xr:uid="{00000000-0005-0000-0000-000026040000}"/>
    <cellStyle name="Normal 12 4 2" xfId="1164" xr:uid="{00000000-0005-0000-0000-000027040000}"/>
    <cellStyle name="Normal 12 5" xfId="767" xr:uid="{00000000-0005-0000-0000-000028040000}"/>
    <cellStyle name="Normal 12 6" xfId="1401" xr:uid="{00000000-0005-0000-0000-000029040000}"/>
    <cellStyle name="Normal 13" xfId="768" xr:uid="{00000000-0005-0000-0000-00002A040000}"/>
    <cellStyle name="Normal 13 2" xfId="1129" xr:uid="{00000000-0005-0000-0000-00002B040000}"/>
    <cellStyle name="Normal 13 3" xfId="1403" xr:uid="{00000000-0005-0000-0000-00002C040000}"/>
    <cellStyle name="Normal 14" xfId="769" xr:uid="{00000000-0005-0000-0000-00002D040000}"/>
    <cellStyle name="Normal 14 2" xfId="1130" xr:uid="{00000000-0005-0000-0000-00002E040000}"/>
    <cellStyle name="Normal 14 3" xfId="1404" xr:uid="{00000000-0005-0000-0000-00002F040000}"/>
    <cellStyle name="Normal 15" xfId="770" xr:uid="{00000000-0005-0000-0000-000030040000}"/>
    <cellStyle name="Normal 15 2" xfId="1206" xr:uid="{00000000-0005-0000-0000-000031040000}"/>
    <cellStyle name="Normal 16" xfId="771" xr:uid="{00000000-0005-0000-0000-000032040000}"/>
    <cellStyle name="Normal 16 2" xfId="1131" xr:uid="{00000000-0005-0000-0000-000033040000}"/>
    <cellStyle name="Normal 16 3" xfId="1207" xr:uid="{00000000-0005-0000-0000-000034040000}"/>
    <cellStyle name="Normal 17" xfId="772" xr:uid="{00000000-0005-0000-0000-000035040000}"/>
    <cellStyle name="Normal 17 2" xfId="1132" xr:uid="{00000000-0005-0000-0000-000036040000}"/>
    <cellStyle name="Normal 17 3" xfId="1202" xr:uid="{00000000-0005-0000-0000-000037040000}"/>
    <cellStyle name="Normal 18" xfId="773" xr:uid="{00000000-0005-0000-0000-000038040000}"/>
    <cellStyle name="Normal 18 2" xfId="1133" xr:uid="{00000000-0005-0000-0000-000039040000}"/>
    <cellStyle name="Normal 18 3" xfId="1209" xr:uid="{00000000-0005-0000-0000-00003A040000}"/>
    <cellStyle name="Normal 19" xfId="774" xr:uid="{00000000-0005-0000-0000-00003B040000}"/>
    <cellStyle name="Normal 19 2" xfId="1134" xr:uid="{00000000-0005-0000-0000-00003C040000}"/>
    <cellStyle name="Normal 19 3" xfId="1203" xr:uid="{00000000-0005-0000-0000-00003D040000}"/>
    <cellStyle name="Normal 2" xfId="775" xr:uid="{00000000-0005-0000-0000-00003E040000}"/>
    <cellStyle name="Normal 2 2" xfId="776" xr:uid="{00000000-0005-0000-0000-00003F040000}"/>
    <cellStyle name="Normal 2 2 2" xfId="777" xr:uid="{00000000-0005-0000-0000-000040040000}"/>
    <cellStyle name="Normal 2 2 2 2" xfId="778" xr:uid="{00000000-0005-0000-0000-000041040000}"/>
    <cellStyle name="Normal 2 2 3" xfId="779" xr:uid="{00000000-0005-0000-0000-000042040000}"/>
    <cellStyle name="Normal 2 2 3 2" xfId="780" xr:uid="{00000000-0005-0000-0000-000043040000}"/>
    <cellStyle name="Normal 2 2 4" xfId="781" xr:uid="{00000000-0005-0000-0000-000044040000}"/>
    <cellStyle name="Normal 2 2 5" xfId="1208" xr:uid="{00000000-0005-0000-0000-000045040000}"/>
    <cellStyle name="Normal 2 3" xfId="782" xr:uid="{00000000-0005-0000-0000-000046040000}"/>
    <cellStyle name="Normal 2 3 2" xfId="1406" xr:uid="{00000000-0005-0000-0000-000047040000}"/>
    <cellStyle name="Normal 2 4" xfId="1178" xr:uid="{00000000-0005-0000-0000-000048040000}"/>
    <cellStyle name="Normal 2 4 2" xfId="1407" xr:uid="{00000000-0005-0000-0000-000049040000}"/>
    <cellStyle name="Normal 2 4 3" xfId="1555" xr:uid="{00000000-0005-0000-0000-00004A040000}"/>
    <cellStyle name="Normal 2 5" xfId="1125" xr:uid="{00000000-0005-0000-0000-00004B040000}"/>
    <cellStyle name="Normal 2 5 2" xfId="1135" xr:uid="{00000000-0005-0000-0000-00004C040000}"/>
    <cellStyle name="Normal 2 5 2 2" xfId="1523" xr:uid="{00000000-0005-0000-0000-00004D040000}"/>
    <cellStyle name="Normal 2 5 3" xfId="1522" xr:uid="{00000000-0005-0000-0000-00004E040000}"/>
    <cellStyle name="Normal 2 6" xfId="1405" xr:uid="{00000000-0005-0000-0000-00004F040000}"/>
    <cellStyle name="Normal 2 7" xfId="1549" xr:uid="{00000000-0005-0000-0000-000050040000}"/>
    <cellStyle name="Normal 20" xfId="783" xr:uid="{00000000-0005-0000-0000-000051040000}"/>
    <cellStyle name="Normal 20 2" xfId="1136" xr:uid="{00000000-0005-0000-0000-000052040000}"/>
    <cellStyle name="Normal 20 3" xfId="1519" xr:uid="{00000000-0005-0000-0000-000053040000}"/>
    <cellStyle name="Normal 21" xfId="784" xr:uid="{00000000-0005-0000-0000-000054040000}"/>
    <cellStyle name="Normal 21 2" xfId="1137" xr:uid="{00000000-0005-0000-0000-000055040000}"/>
    <cellStyle name="Normal 22" xfId="785" xr:uid="{00000000-0005-0000-0000-000056040000}"/>
    <cellStyle name="Normal 22 2" xfId="1138" xr:uid="{00000000-0005-0000-0000-000057040000}"/>
    <cellStyle name="Normal 23" xfId="786" xr:uid="{00000000-0005-0000-0000-000058040000}"/>
    <cellStyle name="Normal 23 2" xfId="1139" xr:uid="{00000000-0005-0000-0000-000059040000}"/>
    <cellStyle name="Normal 24" xfId="787" xr:uid="{00000000-0005-0000-0000-00005A040000}"/>
    <cellStyle name="Normal 24 2" xfId="1140" xr:uid="{00000000-0005-0000-0000-00005B040000}"/>
    <cellStyle name="Normal 25" xfId="788" xr:uid="{00000000-0005-0000-0000-00005C040000}"/>
    <cellStyle name="Normal 25 2" xfId="1141" xr:uid="{00000000-0005-0000-0000-00005D040000}"/>
    <cellStyle name="Normal 26" xfId="789" xr:uid="{00000000-0005-0000-0000-00005E040000}"/>
    <cellStyle name="Normal 26 2" xfId="1142" xr:uid="{00000000-0005-0000-0000-00005F040000}"/>
    <cellStyle name="Normal 27" xfId="1143" xr:uid="{00000000-0005-0000-0000-000060040000}"/>
    <cellStyle name="Normal 28" xfId="1144" xr:uid="{00000000-0005-0000-0000-000061040000}"/>
    <cellStyle name="Normal 28 2" xfId="1145" xr:uid="{00000000-0005-0000-0000-000062040000}"/>
    <cellStyle name="Normal 29" xfId="1146" xr:uid="{00000000-0005-0000-0000-000063040000}"/>
    <cellStyle name="Normal 29 2" xfId="1147" xr:uid="{00000000-0005-0000-0000-000064040000}"/>
    <cellStyle name="Normal 3" xfId="790" xr:uid="{00000000-0005-0000-0000-000065040000}"/>
    <cellStyle name="Normal 3 2" xfId="791" xr:uid="{00000000-0005-0000-0000-000066040000}"/>
    <cellStyle name="Normal 3 2 2" xfId="792" xr:uid="{00000000-0005-0000-0000-000067040000}"/>
    <cellStyle name="Normal 3 2 2 2" xfId="1409" xr:uid="{00000000-0005-0000-0000-000068040000}"/>
    <cellStyle name="Normal 3 2 3" xfId="1172" xr:uid="{00000000-0005-0000-0000-000069040000}"/>
    <cellStyle name="Normal 3 3" xfId="793" xr:uid="{00000000-0005-0000-0000-00006A040000}"/>
    <cellStyle name="Normal 3 3 2" xfId="794" xr:uid="{00000000-0005-0000-0000-00006B040000}"/>
    <cellStyle name="Normal 3 3 3" xfId="795" xr:uid="{00000000-0005-0000-0000-00006C040000}"/>
    <cellStyle name="Normal 3 3 4" xfId="796" xr:uid="{00000000-0005-0000-0000-00006D040000}"/>
    <cellStyle name="Normal 3 3 5" xfId="797" xr:uid="{00000000-0005-0000-0000-00006E040000}"/>
    <cellStyle name="Normal 3 3 6" xfId="1410" xr:uid="{00000000-0005-0000-0000-00006F040000}"/>
    <cellStyle name="Normal 3 4" xfId="1408" xr:uid="{00000000-0005-0000-0000-000070040000}"/>
    <cellStyle name="Normal 3_Attach O, GG, Support -New Method 2-14-11" xfId="1148" xr:uid="{00000000-0005-0000-0000-000071040000}"/>
    <cellStyle name="Normal 30" xfId="1185" xr:uid="{00000000-0005-0000-0000-000072040000}"/>
    <cellStyle name="Normal 31" xfId="1557" xr:uid="{00000000-0005-0000-0000-000073040000}"/>
    <cellStyle name="Normal 31 2" xfId="1546" xr:uid="{00000000-0005-0000-0000-000074040000}"/>
    <cellStyle name="Normal 31 2 2" xfId="1539" xr:uid="{00000000-0005-0000-0000-000075040000}"/>
    <cellStyle name="Normal 31 3" xfId="1540" xr:uid="{00000000-0005-0000-0000-000076040000}"/>
    <cellStyle name="Normal 32" xfId="1541" xr:uid="{00000000-0005-0000-0000-000077040000}"/>
    <cellStyle name="Normal 33" xfId="1545" xr:uid="{00000000-0005-0000-0000-000078040000}"/>
    <cellStyle name="Normal 34" xfId="1559" xr:uid="{00000000-0005-0000-0000-000079040000}"/>
    <cellStyle name="Normal 35" xfId="798" xr:uid="{00000000-0005-0000-0000-00007A040000}"/>
    <cellStyle name="Normal 35 2" xfId="1532" xr:uid="{00000000-0005-0000-0000-00007B040000}"/>
    <cellStyle name="Normal 36" xfId="1562" xr:uid="{00000000-0005-0000-0000-00007C040000}"/>
    <cellStyle name="Normal 4" xfId="799" xr:uid="{00000000-0005-0000-0000-00007D040000}"/>
    <cellStyle name="Normal 4 10" xfId="800" xr:uid="{00000000-0005-0000-0000-00007E040000}"/>
    <cellStyle name="Normal 4 10 2" xfId="801" xr:uid="{00000000-0005-0000-0000-00007F040000}"/>
    <cellStyle name="Normal 4 10 3" xfId="802" xr:uid="{00000000-0005-0000-0000-000080040000}"/>
    <cellStyle name="Normal 4 11" xfId="803" xr:uid="{00000000-0005-0000-0000-000081040000}"/>
    <cellStyle name="Normal 4 11 2" xfId="804" xr:uid="{00000000-0005-0000-0000-000082040000}"/>
    <cellStyle name="Normal 4 12" xfId="805" xr:uid="{00000000-0005-0000-0000-000083040000}"/>
    <cellStyle name="Normal 4 12 2" xfId="806" xr:uid="{00000000-0005-0000-0000-000084040000}"/>
    <cellStyle name="Normal 4 13" xfId="807" xr:uid="{00000000-0005-0000-0000-000085040000}"/>
    <cellStyle name="Normal 4 13 2" xfId="808" xr:uid="{00000000-0005-0000-0000-000086040000}"/>
    <cellStyle name="Normal 4 14" xfId="809" xr:uid="{00000000-0005-0000-0000-000087040000}"/>
    <cellStyle name="Normal 4 2" xfId="810" xr:uid="{00000000-0005-0000-0000-000088040000}"/>
    <cellStyle name="Normal 4 2 2" xfId="811" xr:uid="{00000000-0005-0000-0000-000089040000}"/>
    <cellStyle name="Normal 4 2 2 2" xfId="1492" xr:uid="{00000000-0005-0000-0000-00008A040000}"/>
    <cellStyle name="Normal 4 2 3" xfId="1411" xr:uid="{00000000-0005-0000-0000-00008B040000}"/>
    <cellStyle name="Normal 4 3" xfId="812" xr:uid="{00000000-0005-0000-0000-00008C040000}"/>
    <cellStyle name="Normal 4 3 2" xfId="813" xr:uid="{00000000-0005-0000-0000-00008D040000}"/>
    <cellStyle name="Normal 4 3 2 2" xfId="814" xr:uid="{00000000-0005-0000-0000-00008E040000}"/>
    <cellStyle name="Normal 4 3 2 3" xfId="815" xr:uid="{00000000-0005-0000-0000-00008F040000}"/>
    <cellStyle name="Normal 4 3 3" xfId="816" xr:uid="{00000000-0005-0000-0000-000090040000}"/>
    <cellStyle name="Normal 4 3 3 2" xfId="817" xr:uid="{00000000-0005-0000-0000-000091040000}"/>
    <cellStyle name="Normal 4 3 3 2 2" xfId="818" xr:uid="{00000000-0005-0000-0000-000092040000}"/>
    <cellStyle name="Normal 4 3 3 2 3" xfId="819" xr:uid="{00000000-0005-0000-0000-000093040000}"/>
    <cellStyle name="Normal 4 3 3 2 4" xfId="820" xr:uid="{00000000-0005-0000-0000-000094040000}"/>
    <cellStyle name="Normal 4 3 3 2 5" xfId="821" xr:uid="{00000000-0005-0000-0000-000095040000}"/>
    <cellStyle name="Normal 4 3 3 3" xfId="822" xr:uid="{00000000-0005-0000-0000-000096040000}"/>
    <cellStyle name="Normal 4 3 4" xfId="823" xr:uid="{00000000-0005-0000-0000-000097040000}"/>
    <cellStyle name="Normal 4 3 5" xfId="824" xr:uid="{00000000-0005-0000-0000-000098040000}"/>
    <cellStyle name="Normal 4 3 5 2" xfId="825" xr:uid="{00000000-0005-0000-0000-000099040000}"/>
    <cellStyle name="Normal 4 3 5 3" xfId="826" xr:uid="{00000000-0005-0000-0000-00009A040000}"/>
    <cellStyle name="Normal 4 3 5 4" xfId="827" xr:uid="{00000000-0005-0000-0000-00009B040000}"/>
    <cellStyle name="Normal 4 3 5 5" xfId="828" xr:uid="{00000000-0005-0000-0000-00009C040000}"/>
    <cellStyle name="Normal 4 3 6" xfId="829" xr:uid="{00000000-0005-0000-0000-00009D040000}"/>
    <cellStyle name="Normal 4 3 7" xfId="1412" xr:uid="{00000000-0005-0000-0000-00009E040000}"/>
    <cellStyle name="Normal 4 4" xfId="830" xr:uid="{00000000-0005-0000-0000-00009F040000}"/>
    <cellStyle name="Normal 4 4 2" xfId="831" xr:uid="{00000000-0005-0000-0000-0000A0040000}"/>
    <cellStyle name="Normal 4 4 3" xfId="832" xr:uid="{00000000-0005-0000-0000-0000A1040000}"/>
    <cellStyle name="Normal 4 4 4" xfId="833" xr:uid="{00000000-0005-0000-0000-0000A2040000}"/>
    <cellStyle name="Normal 4 4 4 2" xfId="834" xr:uid="{00000000-0005-0000-0000-0000A3040000}"/>
    <cellStyle name="Normal 4 4 4 3" xfId="835" xr:uid="{00000000-0005-0000-0000-0000A4040000}"/>
    <cellStyle name="Normal 4 4 4 4" xfId="836" xr:uid="{00000000-0005-0000-0000-0000A5040000}"/>
    <cellStyle name="Normal 4 4 4 5" xfId="837" xr:uid="{00000000-0005-0000-0000-0000A6040000}"/>
    <cellStyle name="Normal 4 4 5" xfId="838" xr:uid="{00000000-0005-0000-0000-0000A7040000}"/>
    <cellStyle name="Normal 4 4 6" xfId="1491" xr:uid="{00000000-0005-0000-0000-0000A8040000}"/>
    <cellStyle name="Normal 4 5" xfId="839" xr:uid="{00000000-0005-0000-0000-0000A9040000}"/>
    <cellStyle name="Normal 4 5 2" xfId="840" xr:uid="{00000000-0005-0000-0000-0000AA040000}"/>
    <cellStyle name="Normal 4 5 2 2" xfId="841" xr:uid="{00000000-0005-0000-0000-0000AB040000}"/>
    <cellStyle name="Normal 4 5 2 2 2" xfId="842" xr:uid="{00000000-0005-0000-0000-0000AC040000}"/>
    <cellStyle name="Normal 4 5 2 2 3" xfId="843" xr:uid="{00000000-0005-0000-0000-0000AD040000}"/>
    <cellStyle name="Normal 4 5 2 2 4" xfId="844" xr:uid="{00000000-0005-0000-0000-0000AE040000}"/>
    <cellStyle name="Normal 4 5 2 2 5" xfId="845" xr:uid="{00000000-0005-0000-0000-0000AF040000}"/>
    <cellStyle name="Normal 4 5 3" xfId="846" xr:uid="{00000000-0005-0000-0000-0000B0040000}"/>
    <cellStyle name="Normal 4 6" xfId="847" xr:uid="{00000000-0005-0000-0000-0000B1040000}"/>
    <cellStyle name="Normal 4 6 2" xfId="1149" xr:uid="{00000000-0005-0000-0000-0000B2040000}"/>
    <cellStyle name="Normal 4 7" xfId="848" xr:uid="{00000000-0005-0000-0000-0000B3040000}"/>
    <cellStyle name="Normal 4 7 2" xfId="1150" xr:uid="{00000000-0005-0000-0000-0000B4040000}"/>
    <cellStyle name="Normal 4 8" xfId="849" xr:uid="{00000000-0005-0000-0000-0000B5040000}"/>
    <cellStyle name="Normal 4 9" xfId="850" xr:uid="{00000000-0005-0000-0000-0000B6040000}"/>
    <cellStyle name="Normal 4_PBOP Exhibit 1" xfId="851" xr:uid="{00000000-0005-0000-0000-0000B7040000}"/>
    <cellStyle name="Normal 5" xfId="852" xr:uid="{00000000-0005-0000-0000-0000B8040000}"/>
    <cellStyle name="Normal 5 2" xfId="853" xr:uid="{00000000-0005-0000-0000-0000B9040000}"/>
    <cellStyle name="Normal 5 2 2" xfId="854" xr:uid="{00000000-0005-0000-0000-0000BA040000}"/>
    <cellStyle name="Normal 5 2 2 2" xfId="855" xr:uid="{00000000-0005-0000-0000-0000BB040000}"/>
    <cellStyle name="Normal 5 2 2 3" xfId="1415" xr:uid="{00000000-0005-0000-0000-0000BC040000}"/>
    <cellStyle name="Normal 5 2 3" xfId="856" xr:uid="{00000000-0005-0000-0000-0000BD040000}"/>
    <cellStyle name="Normal 5 2 4" xfId="857" xr:uid="{00000000-0005-0000-0000-0000BE040000}"/>
    <cellStyle name="Normal 5 2 5" xfId="858" xr:uid="{00000000-0005-0000-0000-0000BF040000}"/>
    <cellStyle name="Normal 5 2 6" xfId="859" xr:uid="{00000000-0005-0000-0000-0000C0040000}"/>
    <cellStyle name="Normal 5 2 7" xfId="1414" xr:uid="{00000000-0005-0000-0000-0000C1040000}"/>
    <cellStyle name="Normal 5 3" xfId="860" xr:uid="{00000000-0005-0000-0000-0000C2040000}"/>
    <cellStyle name="Normal 5 3 2" xfId="1416" xr:uid="{00000000-0005-0000-0000-0000C3040000}"/>
    <cellStyle name="Normal 5 4" xfId="861" xr:uid="{00000000-0005-0000-0000-0000C4040000}"/>
    <cellStyle name="Normal 5 4 2" xfId="1493" xr:uid="{00000000-0005-0000-0000-0000C5040000}"/>
    <cellStyle name="Normal 5 5" xfId="1413" xr:uid="{00000000-0005-0000-0000-0000C6040000}"/>
    <cellStyle name="Normal 5 6" xfId="1548" xr:uid="{00000000-0005-0000-0000-0000C7040000}"/>
    <cellStyle name="Normal 6" xfId="862" xr:uid="{00000000-0005-0000-0000-0000C8040000}"/>
    <cellStyle name="Normal 6 2" xfId="863" xr:uid="{00000000-0005-0000-0000-0000C9040000}"/>
    <cellStyle name="Normal 6 2 2" xfId="864" xr:uid="{00000000-0005-0000-0000-0000CA040000}"/>
    <cellStyle name="Normal 6 2 3" xfId="865" xr:uid="{00000000-0005-0000-0000-0000CB040000}"/>
    <cellStyle name="Normal 6 3" xfId="866" xr:uid="{00000000-0005-0000-0000-0000CC040000}"/>
    <cellStyle name="Normal 6 3 2" xfId="1151" xr:uid="{00000000-0005-0000-0000-0000CD040000}"/>
    <cellStyle name="Normal 6 4" xfId="1152" xr:uid="{00000000-0005-0000-0000-0000CE040000}"/>
    <cellStyle name="Normal 6 4 2" xfId="1153" xr:uid="{00000000-0005-0000-0000-0000CF040000}"/>
    <cellStyle name="Normal 6 5" xfId="1166" xr:uid="{00000000-0005-0000-0000-0000D0040000}"/>
    <cellStyle name="Normal 6 6" xfId="1417" xr:uid="{00000000-0005-0000-0000-0000D1040000}"/>
    <cellStyle name="Normal 6 7" xfId="1535" xr:uid="{00000000-0005-0000-0000-0000D2040000}"/>
    <cellStyle name="Normal 7" xfId="867" xr:uid="{00000000-0005-0000-0000-0000D3040000}"/>
    <cellStyle name="Normal 7 2" xfId="868" xr:uid="{00000000-0005-0000-0000-0000D4040000}"/>
    <cellStyle name="Normal 7 3" xfId="869" xr:uid="{00000000-0005-0000-0000-0000D5040000}"/>
    <cellStyle name="Normal 7 4" xfId="1167" xr:uid="{00000000-0005-0000-0000-0000D6040000}"/>
    <cellStyle name="Normal 7 5" xfId="1418" xr:uid="{00000000-0005-0000-0000-0000D7040000}"/>
    <cellStyle name="Normal 8" xfId="870" xr:uid="{00000000-0005-0000-0000-0000D8040000}"/>
    <cellStyle name="Normal 8 2" xfId="871" xr:uid="{00000000-0005-0000-0000-0000D9040000}"/>
    <cellStyle name="Normal 8 2 2" xfId="872" xr:uid="{00000000-0005-0000-0000-0000DA040000}"/>
    <cellStyle name="Normal 8 2 3" xfId="1210" xr:uid="{00000000-0005-0000-0000-0000DB040000}"/>
    <cellStyle name="Normal 8 3" xfId="1168" xr:uid="{00000000-0005-0000-0000-0000DC040000}"/>
    <cellStyle name="Normal 8 4" xfId="1419" xr:uid="{00000000-0005-0000-0000-0000DD040000}"/>
    <cellStyle name="Normal 9" xfId="873" xr:uid="{00000000-0005-0000-0000-0000DE040000}"/>
    <cellStyle name="Normal 9 2" xfId="874" xr:uid="{00000000-0005-0000-0000-0000DF040000}"/>
    <cellStyle name="Normal 9 2 2" xfId="875" xr:uid="{00000000-0005-0000-0000-0000E0040000}"/>
    <cellStyle name="Normal 9 3" xfId="1169" xr:uid="{00000000-0005-0000-0000-0000E1040000}"/>
    <cellStyle name="Normal 9 4" xfId="1420" xr:uid="{00000000-0005-0000-0000-0000E2040000}"/>
    <cellStyle name="Normal_~7671050" xfId="876" xr:uid="{00000000-0005-0000-0000-0000E3040000}"/>
    <cellStyle name="Normal_21 Exh B" xfId="877" xr:uid="{00000000-0005-0000-0000-0000E4040000}"/>
    <cellStyle name="Normal_ADITAnalysisID090805" xfId="878" xr:uid="{00000000-0005-0000-0000-0000E5040000}"/>
    <cellStyle name="Normal_ADITAnalysisID090805 2" xfId="879" xr:uid="{00000000-0005-0000-0000-0000E6040000}"/>
    <cellStyle name="Normal_ADITAnalysisID090805 2 2" xfId="1176" xr:uid="{00000000-0005-0000-0000-0000E7040000}"/>
    <cellStyle name="Normal_ADITAnalysisID090805 2 2 2" xfId="1177" xr:uid="{00000000-0005-0000-0000-0000E8040000}"/>
    <cellStyle name="Normal_ADITAnalysisID090805 3 3" xfId="1179" xr:uid="{00000000-0005-0000-0000-0000E9040000}"/>
    <cellStyle name="Normal_AECC_3.1_Attachment-2_SWE_Rev071019" xfId="1563" xr:uid="{EF43A086-96DF-4E23-9D97-A4E14DFDBB00}"/>
    <cellStyle name="Normal_ATC Projected 2008 Monthly Plant Balances for Attachment O 2 (2)" xfId="1124" xr:uid="{00000000-0005-0000-0000-0000EA040000}"/>
    <cellStyle name="Normal_AU Period 2 Rev 4-27-00" xfId="880" xr:uid="{00000000-0005-0000-0000-0000EB040000}"/>
    <cellStyle name="Normal_FN1 Ratebase Draft SPP template (6-11-04) v2" xfId="881" xr:uid="{00000000-0005-0000-0000-0000EC040000}"/>
    <cellStyle name="Normal_I&amp;M-AK-1" xfId="882" xr:uid="{00000000-0005-0000-0000-0000ED040000}"/>
    <cellStyle name="Normal_Schedule O Info for Mike" xfId="1123" xr:uid="{00000000-0005-0000-0000-0000EE040000}"/>
    <cellStyle name="Normal_Schedule O Info for Mike 2" xfId="1173" xr:uid="{00000000-0005-0000-0000-0000EF040000}"/>
    <cellStyle name="Normal_spp calc - revsd rev crd" xfId="883" xr:uid="{00000000-0005-0000-0000-0000F0040000}"/>
    <cellStyle name="Note" xfId="884" builtinId="10" customBuiltin="1"/>
    <cellStyle name="Note 2" xfId="885" xr:uid="{00000000-0005-0000-0000-0000F2040000}"/>
    <cellStyle name="Note 2 2" xfId="886" xr:uid="{00000000-0005-0000-0000-0000F3040000}"/>
    <cellStyle name="Note 2 2 2" xfId="887" xr:uid="{00000000-0005-0000-0000-0000F4040000}"/>
    <cellStyle name="Note 2 2 3" xfId="888" xr:uid="{00000000-0005-0000-0000-0000F5040000}"/>
    <cellStyle name="Note 2 2 4" xfId="889" xr:uid="{00000000-0005-0000-0000-0000F6040000}"/>
    <cellStyle name="Note 2 2 5" xfId="1422" xr:uid="{00000000-0005-0000-0000-0000F7040000}"/>
    <cellStyle name="Note 2 3" xfId="890" xr:uid="{00000000-0005-0000-0000-0000F8040000}"/>
    <cellStyle name="Note 2 4" xfId="891" xr:uid="{00000000-0005-0000-0000-0000F9040000}"/>
    <cellStyle name="Note 2 5" xfId="892" xr:uid="{00000000-0005-0000-0000-0000FA040000}"/>
    <cellStyle name="Note 2 6" xfId="1421" xr:uid="{00000000-0005-0000-0000-0000FB040000}"/>
    <cellStyle name="Note 3" xfId="1423" xr:uid="{00000000-0005-0000-0000-0000FC040000}"/>
    <cellStyle name="Note 3 2" xfId="1424" xr:uid="{00000000-0005-0000-0000-0000FD040000}"/>
    <cellStyle name="Note 4" xfId="1425" xr:uid="{00000000-0005-0000-0000-0000FE040000}"/>
    <cellStyle name="Note 5" xfId="1426" xr:uid="{00000000-0005-0000-0000-0000FF040000}"/>
    <cellStyle name="Note 6" xfId="1494" xr:uid="{00000000-0005-0000-0000-000000050000}"/>
    <cellStyle name="Note 7" xfId="1186" xr:uid="{00000000-0005-0000-0000-000001050000}"/>
    <cellStyle name="ntec" xfId="1427" xr:uid="{00000000-0005-0000-0000-000002050000}"/>
    <cellStyle name="Output" xfId="893" builtinId="21" customBuiltin="1"/>
    <cellStyle name="Output 2" xfId="894" xr:uid="{00000000-0005-0000-0000-000004050000}"/>
    <cellStyle name="Output 2 2" xfId="895" xr:uid="{00000000-0005-0000-0000-000005050000}"/>
    <cellStyle name="Output 2 3" xfId="896" xr:uid="{00000000-0005-0000-0000-000006050000}"/>
    <cellStyle name="Output 2 4" xfId="897" xr:uid="{00000000-0005-0000-0000-000007050000}"/>
    <cellStyle name="Output 2 5" xfId="898" xr:uid="{00000000-0005-0000-0000-000008050000}"/>
    <cellStyle name="Output 3" xfId="1428" xr:uid="{00000000-0005-0000-0000-000009050000}"/>
    <cellStyle name="Output 4" xfId="1495" xr:uid="{00000000-0005-0000-0000-00000A050000}"/>
    <cellStyle name="Percent" xfId="899" builtinId="5"/>
    <cellStyle name="Percent 10" xfId="900" xr:uid="{00000000-0005-0000-0000-00000C050000}"/>
    <cellStyle name="Percent 10 2" xfId="1212" xr:uid="{00000000-0005-0000-0000-00000D050000}"/>
    <cellStyle name="Percent 10 3" xfId="1534" xr:uid="{00000000-0005-0000-0000-00000E050000}"/>
    <cellStyle name="Percent 11" xfId="901" xr:uid="{00000000-0005-0000-0000-00000F050000}"/>
    <cellStyle name="Percent 11 2" xfId="1205" xr:uid="{00000000-0005-0000-0000-000010050000}"/>
    <cellStyle name="Percent 12" xfId="902" xr:uid="{00000000-0005-0000-0000-000011050000}"/>
    <cellStyle name="Percent 12 2" xfId="903" xr:uid="{00000000-0005-0000-0000-000012050000}"/>
    <cellStyle name="Percent 12 3" xfId="904" xr:uid="{00000000-0005-0000-0000-000013050000}"/>
    <cellStyle name="Percent 12 4" xfId="1556" xr:uid="{00000000-0005-0000-0000-000014050000}"/>
    <cellStyle name="Percent 13" xfId="905" xr:uid="{00000000-0005-0000-0000-000015050000}"/>
    <cellStyle name="Percent 13 2" xfId="906" xr:uid="{00000000-0005-0000-0000-000016050000}"/>
    <cellStyle name="Percent 14" xfId="907" xr:uid="{00000000-0005-0000-0000-000017050000}"/>
    <cellStyle name="Percent 14 2" xfId="908" xr:uid="{00000000-0005-0000-0000-000018050000}"/>
    <cellStyle name="Percent 15" xfId="909" xr:uid="{00000000-0005-0000-0000-000019050000}"/>
    <cellStyle name="Percent 15 2" xfId="910" xr:uid="{00000000-0005-0000-0000-00001A050000}"/>
    <cellStyle name="Percent 16" xfId="911" xr:uid="{00000000-0005-0000-0000-00001B050000}"/>
    <cellStyle name="Percent 17" xfId="1200" xr:uid="{00000000-0005-0000-0000-00001C050000}"/>
    <cellStyle name="Percent 18" xfId="1542" xr:uid="{00000000-0005-0000-0000-00001D050000}"/>
    <cellStyle name="Percent 19" xfId="1553" xr:uid="{00000000-0005-0000-0000-00001E050000}"/>
    <cellStyle name="Percent 2" xfId="912" xr:uid="{00000000-0005-0000-0000-00001F050000}"/>
    <cellStyle name="Percent 2 2" xfId="913" xr:uid="{00000000-0005-0000-0000-000020050000}"/>
    <cellStyle name="Percent 2 2 2" xfId="914" xr:uid="{00000000-0005-0000-0000-000021050000}"/>
    <cellStyle name="Percent 2 2 3" xfId="1429" xr:uid="{00000000-0005-0000-0000-000022050000}"/>
    <cellStyle name="Percent 2 3" xfId="915" xr:uid="{00000000-0005-0000-0000-000023050000}"/>
    <cellStyle name="Percent 2 4" xfId="1180" xr:uid="{00000000-0005-0000-0000-000024050000}"/>
    <cellStyle name="Percent 2 5" xfId="1551" xr:uid="{00000000-0005-0000-0000-000025050000}"/>
    <cellStyle name="Percent 20" xfId="1560" xr:uid="{00000000-0005-0000-0000-000026050000}"/>
    <cellStyle name="Percent 3" xfId="916" xr:uid="{00000000-0005-0000-0000-000027050000}"/>
    <cellStyle name="Percent 3 10" xfId="917" xr:uid="{00000000-0005-0000-0000-000028050000}"/>
    <cellStyle name="Percent 3 10 2" xfId="918" xr:uid="{00000000-0005-0000-0000-000029050000}"/>
    <cellStyle name="Percent 3 10 3" xfId="919" xr:uid="{00000000-0005-0000-0000-00002A050000}"/>
    <cellStyle name="Percent 3 11" xfId="920" xr:uid="{00000000-0005-0000-0000-00002B050000}"/>
    <cellStyle name="Percent 3 11 2" xfId="921" xr:uid="{00000000-0005-0000-0000-00002C050000}"/>
    <cellStyle name="Percent 3 12" xfId="922" xr:uid="{00000000-0005-0000-0000-00002D050000}"/>
    <cellStyle name="Percent 3 12 2" xfId="923" xr:uid="{00000000-0005-0000-0000-00002E050000}"/>
    <cellStyle name="Percent 3 13" xfId="924" xr:uid="{00000000-0005-0000-0000-00002F050000}"/>
    <cellStyle name="Percent 3 13 2" xfId="925" xr:uid="{00000000-0005-0000-0000-000030050000}"/>
    <cellStyle name="Percent 3 14" xfId="926" xr:uid="{00000000-0005-0000-0000-000031050000}"/>
    <cellStyle name="Percent 3 2" xfId="927" xr:uid="{00000000-0005-0000-0000-000032050000}"/>
    <cellStyle name="Percent 3 2 2" xfId="928" xr:uid="{00000000-0005-0000-0000-000033050000}"/>
    <cellStyle name="Percent 3 2 3" xfId="1430" xr:uid="{00000000-0005-0000-0000-000034050000}"/>
    <cellStyle name="Percent 3 3" xfId="929" xr:uid="{00000000-0005-0000-0000-000035050000}"/>
    <cellStyle name="Percent 3 3 2" xfId="930" xr:uid="{00000000-0005-0000-0000-000036050000}"/>
    <cellStyle name="Percent 3 3 2 2" xfId="931" xr:uid="{00000000-0005-0000-0000-000037050000}"/>
    <cellStyle name="Percent 3 3 2 3" xfId="932" xr:uid="{00000000-0005-0000-0000-000038050000}"/>
    <cellStyle name="Percent 3 3 3" xfId="933" xr:uid="{00000000-0005-0000-0000-000039050000}"/>
    <cellStyle name="Percent 3 3 3 2" xfId="934" xr:uid="{00000000-0005-0000-0000-00003A050000}"/>
    <cellStyle name="Percent 3 3 3 2 2" xfId="935" xr:uid="{00000000-0005-0000-0000-00003B050000}"/>
    <cellStyle name="Percent 3 3 3 2 3" xfId="936" xr:uid="{00000000-0005-0000-0000-00003C050000}"/>
    <cellStyle name="Percent 3 3 3 2 4" xfId="937" xr:uid="{00000000-0005-0000-0000-00003D050000}"/>
    <cellStyle name="Percent 3 3 3 2 5" xfId="938" xr:uid="{00000000-0005-0000-0000-00003E050000}"/>
    <cellStyle name="Percent 3 3 3 3" xfId="939" xr:uid="{00000000-0005-0000-0000-00003F050000}"/>
    <cellStyle name="Percent 3 3 4" xfId="940" xr:uid="{00000000-0005-0000-0000-000040050000}"/>
    <cellStyle name="Percent 3 3 5" xfId="941" xr:uid="{00000000-0005-0000-0000-000041050000}"/>
    <cellStyle name="Percent 3 3 5 2" xfId="942" xr:uid="{00000000-0005-0000-0000-000042050000}"/>
    <cellStyle name="Percent 3 3 5 3" xfId="943" xr:uid="{00000000-0005-0000-0000-000043050000}"/>
    <cellStyle name="Percent 3 3 5 4" xfId="944" xr:uid="{00000000-0005-0000-0000-000044050000}"/>
    <cellStyle name="Percent 3 3 5 5" xfId="945" xr:uid="{00000000-0005-0000-0000-000045050000}"/>
    <cellStyle name="Percent 3 3 6" xfId="946" xr:uid="{00000000-0005-0000-0000-000046050000}"/>
    <cellStyle name="Percent 3 3 7" xfId="1496" xr:uid="{00000000-0005-0000-0000-000047050000}"/>
    <cellStyle name="Percent 3 4" xfId="947" xr:uid="{00000000-0005-0000-0000-000048050000}"/>
    <cellStyle name="Percent 3 4 2" xfId="948" xr:uid="{00000000-0005-0000-0000-000049050000}"/>
    <cellStyle name="Percent 3 4 3" xfId="949" xr:uid="{00000000-0005-0000-0000-00004A050000}"/>
    <cellStyle name="Percent 3 4 4" xfId="950" xr:uid="{00000000-0005-0000-0000-00004B050000}"/>
    <cellStyle name="Percent 3 4 4 2" xfId="951" xr:uid="{00000000-0005-0000-0000-00004C050000}"/>
    <cellStyle name="Percent 3 4 4 3" xfId="952" xr:uid="{00000000-0005-0000-0000-00004D050000}"/>
    <cellStyle name="Percent 3 4 4 4" xfId="953" xr:uid="{00000000-0005-0000-0000-00004E050000}"/>
    <cellStyle name="Percent 3 4 4 5" xfId="954" xr:uid="{00000000-0005-0000-0000-00004F050000}"/>
    <cellStyle name="Percent 3 4 5" xfId="955" xr:uid="{00000000-0005-0000-0000-000050050000}"/>
    <cellStyle name="Percent 3 4 6" xfId="1526" xr:uid="{00000000-0005-0000-0000-000051050000}"/>
    <cellStyle name="Percent 3 5" xfId="956" xr:uid="{00000000-0005-0000-0000-000052050000}"/>
    <cellStyle name="Percent 3 5 2" xfId="957" xr:uid="{00000000-0005-0000-0000-000053050000}"/>
    <cellStyle name="Percent 3 6" xfId="958" xr:uid="{00000000-0005-0000-0000-000054050000}"/>
    <cellStyle name="Percent 3 6 2" xfId="1154" xr:uid="{00000000-0005-0000-0000-000055050000}"/>
    <cellStyle name="Percent 3 7" xfId="959" xr:uid="{00000000-0005-0000-0000-000056050000}"/>
    <cellStyle name="Percent 3 8" xfId="960" xr:uid="{00000000-0005-0000-0000-000057050000}"/>
    <cellStyle name="Percent 3 9" xfId="961" xr:uid="{00000000-0005-0000-0000-000058050000}"/>
    <cellStyle name="Percent 4" xfId="962" xr:uid="{00000000-0005-0000-0000-000059050000}"/>
    <cellStyle name="Percent 4 2" xfId="963" xr:uid="{00000000-0005-0000-0000-00005A050000}"/>
    <cellStyle name="Percent 4 2 2" xfId="964" xr:uid="{00000000-0005-0000-0000-00005B050000}"/>
    <cellStyle name="Percent 4 2 3" xfId="965" xr:uid="{00000000-0005-0000-0000-00005C050000}"/>
    <cellStyle name="Percent 4 2 4" xfId="1432" xr:uid="{00000000-0005-0000-0000-00005D050000}"/>
    <cellStyle name="Percent 4 3" xfId="966" xr:uid="{00000000-0005-0000-0000-00005E050000}"/>
    <cellStyle name="Percent 4 3 2" xfId="967" xr:uid="{00000000-0005-0000-0000-00005F050000}"/>
    <cellStyle name="Percent 4 3 2 2" xfId="968" xr:uid="{00000000-0005-0000-0000-000060050000}"/>
    <cellStyle name="Percent 4 3 2 3" xfId="969" xr:uid="{00000000-0005-0000-0000-000061050000}"/>
    <cellStyle name="Percent 4 3 2 4" xfId="970" xr:uid="{00000000-0005-0000-0000-000062050000}"/>
    <cellStyle name="Percent 4 3 2 5" xfId="971" xr:uid="{00000000-0005-0000-0000-000063050000}"/>
    <cellStyle name="Percent 4 3 3" xfId="972" xr:uid="{00000000-0005-0000-0000-000064050000}"/>
    <cellStyle name="Percent 4 4" xfId="973" xr:uid="{00000000-0005-0000-0000-000065050000}"/>
    <cellStyle name="Percent 4 5" xfId="974" xr:uid="{00000000-0005-0000-0000-000066050000}"/>
    <cellStyle name="Percent 4 5 2" xfId="975" xr:uid="{00000000-0005-0000-0000-000067050000}"/>
    <cellStyle name="Percent 4 5 3" xfId="976" xr:uid="{00000000-0005-0000-0000-000068050000}"/>
    <cellStyle name="Percent 4 5 4" xfId="977" xr:uid="{00000000-0005-0000-0000-000069050000}"/>
    <cellStyle name="Percent 4 5 5" xfId="978" xr:uid="{00000000-0005-0000-0000-00006A050000}"/>
    <cellStyle name="Percent 4 6" xfId="979" xr:uid="{00000000-0005-0000-0000-00006B050000}"/>
    <cellStyle name="Percent 4 6 2" xfId="980" xr:uid="{00000000-0005-0000-0000-00006C050000}"/>
    <cellStyle name="Percent 4 6 3" xfId="981" xr:uid="{00000000-0005-0000-0000-00006D050000}"/>
    <cellStyle name="Percent 4 7" xfId="1170" xr:uid="{00000000-0005-0000-0000-00006E050000}"/>
    <cellStyle name="Percent 4 8" xfId="1431" xr:uid="{00000000-0005-0000-0000-00006F050000}"/>
    <cellStyle name="Percent 5" xfId="982" xr:uid="{00000000-0005-0000-0000-000070050000}"/>
    <cellStyle name="Percent 5 2" xfId="983" xr:uid="{00000000-0005-0000-0000-000071050000}"/>
    <cellStyle name="Percent 5 2 2" xfId="1434" xr:uid="{00000000-0005-0000-0000-000072050000}"/>
    <cellStyle name="Percent 5 3" xfId="984" xr:uid="{00000000-0005-0000-0000-000073050000}"/>
    <cellStyle name="Percent 5 4" xfId="985" xr:uid="{00000000-0005-0000-0000-000074050000}"/>
    <cellStyle name="Percent 5 4 2" xfId="986" xr:uid="{00000000-0005-0000-0000-000075050000}"/>
    <cellStyle name="Percent 5 4 3" xfId="987" xr:uid="{00000000-0005-0000-0000-000076050000}"/>
    <cellStyle name="Percent 5 4 4" xfId="988" xr:uid="{00000000-0005-0000-0000-000077050000}"/>
    <cellStyle name="Percent 5 4 5" xfId="989" xr:uid="{00000000-0005-0000-0000-000078050000}"/>
    <cellStyle name="Percent 5 5" xfId="990" xr:uid="{00000000-0005-0000-0000-000079050000}"/>
    <cellStyle name="Percent 5 6" xfId="1433" xr:uid="{00000000-0005-0000-0000-00007A050000}"/>
    <cellStyle name="Percent 6" xfId="991" xr:uid="{00000000-0005-0000-0000-00007B050000}"/>
    <cellStyle name="Percent 6 2" xfId="992" xr:uid="{00000000-0005-0000-0000-00007C050000}"/>
    <cellStyle name="Percent 6 3" xfId="993" xr:uid="{00000000-0005-0000-0000-00007D050000}"/>
    <cellStyle name="Percent 6 4" xfId="994" xr:uid="{00000000-0005-0000-0000-00007E050000}"/>
    <cellStyle name="Percent 6 4 2" xfId="995" xr:uid="{00000000-0005-0000-0000-00007F050000}"/>
    <cellStyle name="Percent 6 4 3" xfId="996" xr:uid="{00000000-0005-0000-0000-000080050000}"/>
    <cellStyle name="Percent 6 5" xfId="1171" xr:uid="{00000000-0005-0000-0000-000081050000}"/>
    <cellStyle name="Percent 6 6" xfId="1435" xr:uid="{00000000-0005-0000-0000-000082050000}"/>
    <cellStyle name="Percent 7" xfId="997" xr:uid="{00000000-0005-0000-0000-000083050000}"/>
    <cellStyle name="Percent 7 2" xfId="998" xr:uid="{00000000-0005-0000-0000-000084050000}"/>
    <cellStyle name="Percent 7 2 2" xfId="999" xr:uid="{00000000-0005-0000-0000-000085050000}"/>
    <cellStyle name="Percent 7 2 2 2" xfId="1000" xr:uid="{00000000-0005-0000-0000-000086050000}"/>
    <cellStyle name="Percent 7 2 2 2 2" xfId="1001" xr:uid="{00000000-0005-0000-0000-000087050000}"/>
    <cellStyle name="Percent 7 2 2 3" xfId="1002" xr:uid="{00000000-0005-0000-0000-000088050000}"/>
    <cellStyle name="Percent 7 2 2 3 2" xfId="1003" xr:uid="{00000000-0005-0000-0000-000089050000}"/>
    <cellStyle name="Percent 7 2 2 4" xfId="1004" xr:uid="{00000000-0005-0000-0000-00008A050000}"/>
    <cellStyle name="Percent 7 2 2 5" xfId="1005" xr:uid="{00000000-0005-0000-0000-00008B050000}"/>
    <cellStyle name="Percent 7 2 2 6" xfId="1006" xr:uid="{00000000-0005-0000-0000-00008C050000}"/>
    <cellStyle name="Percent 7 2 3" xfId="1007" xr:uid="{00000000-0005-0000-0000-00008D050000}"/>
    <cellStyle name="Percent 7 2 3 2" xfId="1008" xr:uid="{00000000-0005-0000-0000-00008E050000}"/>
    <cellStyle name="Percent 7 2 4" xfId="1009" xr:uid="{00000000-0005-0000-0000-00008F050000}"/>
    <cellStyle name="Percent 7 2 4 2" xfId="1010" xr:uid="{00000000-0005-0000-0000-000090050000}"/>
    <cellStyle name="Percent 7 2 4 3" xfId="1011" xr:uid="{00000000-0005-0000-0000-000091050000}"/>
    <cellStyle name="Percent 7 2 5" xfId="1012" xr:uid="{00000000-0005-0000-0000-000092050000}"/>
    <cellStyle name="Percent 7 2 5 2" xfId="1013" xr:uid="{00000000-0005-0000-0000-000093050000}"/>
    <cellStyle name="Percent 7 2 6" xfId="1014" xr:uid="{00000000-0005-0000-0000-000094050000}"/>
    <cellStyle name="Percent 7 2 7" xfId="1437" xr:uid="{00000000-0005-0000-0000-000095050000}"/>
    <cellStyle name="Percent 7 3" xfId="1015" xr:uid="{00000000-0005-0000-0000-000096050000}"/>
    <cellStyle name="Percent 7 4" xfId="1016" xr:uid="{00000000-0005-0000-0000-000097050000}"/>
    <cellStyle name="Percent 7 5" xfId="1017" xr:uid="{00000000-0005-0000-0000-000098050000}"/>
    <cellStyle name="Percent 7 6" xfId="1018" xr:uid="{00000000-0005-0000-0000-000099050000}"/>
    <cellStyle name="Percent 7 7" xfId="1436" xr:uid="{00000000-0005-0000-0000-00009A050000}"/>
    <cellStyle name="Percent 8" xfId="1019" xr:uid="{00000000-0005-0000-0000-00009B050000}"/>
    <cellStyle name="Percent 8 2" xfId="1439" xr:uid="{00000000-0005-0000-0000-00009C050000}"/>
    <cellStyle name="Percent 8 3" xfId="1438" xr:uid="{00000000-0005-0000-0000-00009D050000}"/>
    <cellStyle name="Percent 9" xfId="1020" xr:uid="{00000000-0005-0000-0000-00009E050000}"/>
    <cellStyle name="Percent 9 2" xfId="1213" xr:uid="{00000000-0005-0000-0000-00009F050000}"/>
    <cellStyle name="PSChar" xfId="1021" xr:uid="{00000000-0005-0000-0000-0000A0050000}"/>
    <cellStyle name="PSChar 2" xfId="1022" xr:uid="{00000000-0005-0000-0000-0000A1050000}"/>
    <cellStyle name="PSChar 2 2" xfId="1023" xr:uid="{00000000-0005-0000-0000-0000A2050000}"/>
    <cellStyle name="PSChar 3" xfId="1024" xr:uid="{00000000-0005-0000-0000-0000A3050000}"/>
    <cellStyle name="PSChar 4" xfId="1025" xr:uid="{00000000-0005-0000-0000-0000A4050000}"/>
    <cellStyle name="PSChar 4 2" xfId="1026" xr:uid="{00000000-0005-0000-0000-0000A5050000}"/>
    <cellStyle name="PSChar 5" xfId="1027" xr:uid="{00000000-0005-0000-0000-0000A6050000}"/>
    <cellStyle name="PSChar 5 2" xfId="1028" xr:uid="{00000000-0005-0000-0000-0000A7050000}"/>
    <cellStyle name="PSDate" xfId="1029" xr:uid="{00000000-0005-0000-0000-0000A8050000}"/>
    <cellStyle name="PSDate 2" xfId="1030" xr:uid="{00000000-0005-0000-0000-0000A9050000}"/>
    <cellStyle name="PSDate 2 2" xfId="1441" xr:uid="{00000000-0005-0000-0000-0000AA050000}"/>
    <cellStyle name="PSDate 3" xfId="1031" xr:uid="{00000000-0005-0000-0000-0000AB050000}"/>
    <cellStyle name="PSDate 4" xfId="1032" xr:uid="{00000000-0005-0000-0000-0000AC050000}"/>
    <cellStyle name="PSDate 4 2" xfId="1033" xr:uid="{00000000-0005-0000-0000-0000AD050000}"/>
    <cellStyle name="PSDate 5" xfId="1034" xr:uid="{00000000-0005-0000-0000-0000AE050000}"/>
    <cellStyle name="PSDate 5 2" xfId="1035" xr:uid="{00000000-0005-0000-0000-0000AF050000}"/>
    <cellStyle name="PSDec" xfId="1036" xr:uid="{00000000-0005-0000-0000-0000B0050000}"/>
    <cellStyle name="PSDec 2" xfId="1037" xr:uid="{00000000-0005-0000-0000-0000B1050000}"/>
    <cellStyle name="PSDec 2 2" xfId="1442" xr:uid="{00000000-0005-0000-0000-0000B2050000}"/>
    <cellStyle name="PSDec 3" xfId="1038" xr:uid="{00000000-0005-0000-0000-0000B3050000}"/>
    <cellStyle name="PSDec 4" xfId="1039" xr:uid="{00000000-0005-0000-0000-0000B4050000}"/>
    <cellStyle name="PSDec 4 2" xfId="1040" xr:uid="{00000000-0005-0000-0000-0000B5050000}"/>
    <cellStyle name="PSDec 5" xfId="1041" xr:uid="{00000000-0005-0000-0000-0000B6050000}"/>
    <cellStyle name="PSDec 5 2" xfId="1042" xr:uid="{00000000-0005-0000-0000-0000B7050000}"/>
    <cellStyle name="PSdesc" xfId="1043" xr:uid="{00000000-0005-0000-0000-0000B8050000}"/>
    <cellStyle name="PSdesc 2" xfId="1044" xr:uid="{00000000-0005-0000-0000-0000B9050000}"/>
    <cellStyle name="PSdesc 3" xfId="1497" xr:uid="{00000000-0005-0000-0000-0000BA050000}"/>
    <cellStyle name="PSHeading" xfId="1045" xr:uid="{00000000-0005-0000-0000-0000BB050000}"/>
    <cellStyle name="PSHeading 2" xfId="1046" xr:uid="{00000000-0005-0000-0000-0000BC050000}"/>
    <cellStyle name="PSHeading 2 2" xfId="1443" xr:uid="{00000000-0005-0000-0000-0000BD050000}"/>
    <cellStyle name="PSHeading 3" xfId="1047" xr:uid="{00000000-0005-0000-0000-0000BE050000}"/>
    <cellStyle name="PSHeading 4" xfId="1048" xr:uid="{00000000-0005-0000-0000-0000BF050000}"/>
    <cellStyle name="PSHeading 5" xfId="1049" xr:uid="{00000000-0005-0000-0000-0000C0050000}"/>
    <cellStyle name="PSHeading 5 2" xfId="1050" xr:uid="{00000000-0005-0000-0000-0000C1050000}"/>
    <cellStyle name="PSHeading 6" xfId="1051" xr:uid="{00000000-0005-0000-0000-0000C2050000}"/>
    <cellStyle name="PSHeading 6 2" xfId="1052" xr:uid="{00000000-0005-0000-0000-0000C3050000}"/>
    <cellStyle name="PSInt" xfId="1053" xr:uid="{00000000-0005-0000-0000-0000C4050000}"/>
    <cellStyle name="PSInt 2" xfId="1054" xr:uid="{00000000-0005-0000-0000-0000C5050000}"/>
    <cellStyle name="PSInt 2 2" xfId="1444" xr:uid="{00000000-0005-0000-0000-0000C6050000}"/>
    <cellStyle name="PSInt 3" xfId="1055" xr:uid="{00000000-0005-0000-0000-0000C7050000}"/>
    <cellStyle name="PSInt 4" xfId="1056" xr:uid="{00000000-0005-0000-0000-0000C8050000}"/>
    <cellStyle name="PSInt 4 2" xfId="1057" xr:uid="{00000000-0005-0000-0000-0000C9050000}"/>
    <cellStyle name="PSInt 5" xfId="1058" xr:uid="{00000000-0005-0000-0000-0000CA050000}"/>
    <cellStyle name="PSInt 5 2" xfId="1059" xr:uid="{00000000-0005-0000-0000-0000CB050000}"/>
    <cellStyle name="PSSpacer" xfId="1060" xr:uid="{00000000-0005-0000-0000-0000CC050000}"/>
    <cellStyle name="PSSpacer 2" xfId="1061" xr:uid="{00000000-0005-0000-0000-0000CD050000}"/>
    <cellStyle name="PSSpacer 2 2" xfId="1445" xr:uid="{00000000-0005-0000-0000-0000CE050000}"/>
    <cellStyle name="PSSpacer 3" xfId="1062" xr:uid="{00000000-0005-0000-0000-0000CF050000}"/>
    <cellStyle name="PSSpacer 3 2" xfId="1063" xr:uid="{00000000-0005-0000-0000-0000D0050000}"/>
    <cellStyle name="PStest" xfId="1064" xr:uid="{00000000-0005-0000-0000-0000D1050000}"/>
    <cellStyle name="PStest 2" xfId="1065" xr:uid="{00000000-0005-0000-0000-0000D2050000}"/>
    <cellStyle name="PStest 3" xfId="1498" xr:uid="{00000000-0005-0000-0000-0000D3050000}"/>
    <cellStyle name="R00A" xfId="1066" xr:uid="{00000000-0005-0000-0000-0000D4050000}"/>
    <cellStyle name="R00B" xfId="1067" xr:uid="{00000000-0005-0000-0000-0000D5050000}"/>
    <cellStyle name="R00L" xfId="1068" xr:uid="{00000000-0005-0000-0000-0000D6050000}"/>
    <cellStyle name="R01A" xfId="1069" xr:uid="{00000000-0005-0000-0000-0000D7050000}"/>
    <cellStyle name="R01B" xfId="1070" xr:uid="{00000000-0005-0000-0000-0000D8050000}"/>
    <cellStyle name="R01H" xfId="1071" xr:uid="{00000000-0005-0000-0000-0000D9050000}"/>
    <cellStyle name="R01L" xfId="1072" xr:uid="{00000000-0005-0000-0000-0000DA050000}"/>
    <cellStyle name="R02A" xfId="1073" xr:uid="{00000000-0005-0000-0000-0000DB050000}"/>
    <cellStyle name="R02B" xfId="1074" xr:uid="{00000000-0005-0000-0000-0000DC050000}"/>
    <cellStyle name="R02B 2" xfId="1075" xr:uid="{00000000-0005-0000-0000-0000DD050000}"/>
    <cellStyle name="R02B 3" xfId="1499" xr:uid="{00000000-0005-0000-0000-0000DE050000}"/>
    <cellStyle name="R02H" xfId="1076" xr:uid="{00000000-0005-0000-0000-0000DF050000}"/>
    <cellStyle name="R02L" xfId="1077" xr:uid="{00000000-0005-0000-0000-0000E0050000}"/>
    <cellStyle name="R03A" xfId="1078" xr:uid="{00000000-0005-0000-0000-0000E1050000}"/>
    <cellStyle name="R03B" xfId="1079" xr:uid="{00000000-0005-0000-0000-0000E2050000}"/>
    <cellStyle name="R03B 2" xfId="1080" xr:uid="{00000000-0005-0000-0000-0000E3050000}"/>
    <cellStyle name="R03B 3" xfId="1500" xr:uid="{00000000-0005-0000-0000-0000E4050000}"/>
    <cellStyle name="R03H" xfId="1081" xr:uid="{00000000-0005-0000-0000-0000E5050000}"/>
    <cellStyle name="R03L" xfId="1082" xr:uid="{00000000-0005-0000-0000-0000E6050000}"/>
    <cellStyle name="R04A" xfId="1083" xr:uid="{00000000-0005-0000-0000-0000E7050000}"/>
    <cellStyle name="R04B" xfId="1084" xr:uid="{00000000-0005-0000-0000-0000E8050000}"/>
    <cellStyle name="R04B 2" xfId="1085" xr:uid="{00000000-0005-0000-0000-0000E9050000}"/>
    <cellStyle name="R04B 3" xfId="1501" xr:uid="{00000000-0005-0000-0000-0000EA050000}"/>
    <cellStyle name="R04H" xfId="1086" xr:uid="{00000000-0005-0000-0000-0000EB050000}"/>
    <cellStyle name="R04L" xfId="1087" xr:uid="{00000000-0005-0000-0000-0000EC050000}"/>
    <cellStyle name="R05A" xfId="1088" xr:uid="{00000000-0005-0000-0000-0000ED050000}"/>
    <cellStyle name="R05B" xfId="1089" xr:uid="{00000000-0005-0000-0000-0000EE050000}"/>
    <cellStyle name="R05B 2" xfId="1090" xr:uid="{00000000-0005-0000-0000-0000EF050000}"/>
    <cellStyle name="R05B 3" xfId="1502" xr:uid="{00000000-0005-0000-0000-0000F0050000}"/>
    <cellStyle name="R05H" xfId="1091" xr:uid="{00000000-0005-0000-0000-0000F1050000}"/>
    <cellStyle name="R05L" xfId="1092" xr:uid="{00000000-0005-0000-0000-0000F2050000}"/>
    <cellStyle name="R05L 2" xfId="1093" xr:uid="{00000000-0005-0000-0000-0000F3050000}"/>
    <cellStyle name="R05L 3" xfId="1503" xr:uid="{00000000-0005-0000-0000-0000F4050000}"/>
    <cellStyle name="R06A" xfId="1094" xr:uid="{00000000-0005-0000-0000-0000F5050000}"/>
    <cellStyle name="R06B" xfId="1095" xr:uid="{00000000-0005-0000-0000-0000F6050000}"/>
    <cellStyle name="R06B 2" xfId="1096" xr:uid="{00000000-0005-0000-0000-0000F7050000}"/>
    <cellStyle name="R06B 3" xfId="1504" xr:uid="{00000000-0005-0000-0000-0000F8050000}"/>
    <cellStyle name="R06H" xfId="1097" xr:uid="{00000000-0005-0000-0000-0000F9050000}"/>
    <cellStyle name="R06L" xfId="1098" xr:uid="{00000000-0005-0000-0000-0000FA050000}"/>
    <cellStyle name="R07A" xfId="1099" xr:uid="{00000000-0005-0000-0000-0000FB050000}"/>
    <cellStyle name="R07B" xfId="1100" xr:uid="{00000000-0005-0000-0000-0000FC050000}"/>
    <cellStyle name="R07B 2" xfId="1101" xr:uid="{00000000-0005-0000-0000-0000FD050000}"/>
    <cellStyle name="R07B 3" xfId="1505" xr:uid="{00000000-0005-0000-0000-0000FE050000}"/>
    <cellStyle name="R07H" xfId="1102" xr:uid="{00000000-0005-0000-0000-0000FF050000}"/>
    <cellStyle name="R07L" xfId="1103" xr:uid="{00000000-0005-0000-0000-000000060000}"/>
    <cellStyle name="Title" xfId="1104" builtinId="15" customBuiltin="1"/>
    <cellStyle name="Title 2" xfId="1105" xr:uid="{00000000-0005-0000-0000-000002060000}"/>
    <cellStyle name="Title 2 2" xfId="1106" xr:uid="{00000000-0005-0000-0000-000003060000}"/>
    <cellStyle name="Title 2 3" xfId="1107" xr:uid="{00000000-0005-0000-0000-000004060000}"/>
    <cellStyle name="Title 2 4" xfId="1108" xr:uid="{00000000-0005-0000-0000-000005060000}"/>
    <cellStyle name="Title 2 5" xfId="1446" xr:uid="{00000000-0005-0000-0000-000006060000}"/>
    <cellStyle name="Title 3" xfId="1447" xr:uid="{00000000-0005-0000-0000-000007060000}"/>
    <cellStyle name="Total" xfId="1109" builtinId="25" customBuiltin="1"/>
    <cellStyle name="Total 2" xfId="1110" xr:uid="{00000000-0005-0000-0000-000009060000}"/>
    <cellStyle name="Total 2 2" xfId="1111" xr:uid="{00000000-0005-0000-0000-00000A060000}"/>
    <cellStyle name="Total 2 3" xfId="1112" xr:uid="{00000000-0005-0000-0000-00000B060000}"/>
    <cellStyle name="Total 2 4" xfId="1113" xr:uid="{00000000-0005-0000-0000-00000C060000}"/>
    <cellStyle name="Total 2 5" xfId="1114" xr:uid="{00000000-0005-0000-0000-00000D060000}"/>
    <cellStyle name="Total 2 6" xfId="1448" xr:uid="{00000000-0005-0000-0000-00000E060000}"/>
    <cellStyle name="Total 3" xfId="1115" xr:uid="{00000000-0005-0000-0000-00000F060000}"/>
    <cellStyle name="Total 3 2" xfId="1116" xr:uid="{00000000-0005-0000-0000-000010060000}"/>
    <cellStyle name="Total 3 3" xfId="1449" xr:uid="{00000000-0005-0000-0000-000011060000}"/>
    <cellStyle name="Total 4" xfId="1450" xr:uid="{00000000-0005-0000-0000-000012060000}"/>
    <cellStyle name="Warning Text" xfId="1117" builtinId="11" customBuiltin="1"/>
    <cellStyle name="Warning Text 2" xfId="1118" xr:uid="{00000000-0005-0000-0000-000014060000}"/>
    <cellStyle name="Warning Text 2 2" xfId="1119" xr:uid="{00000000-0005-0000-0000-000015060000}"/>
    <cellStyle name="Warning Text 2 3" xfId="1120" xr:uid="{00000000-0005-0000-0000-000016060000}"/>
    <cellStyle name="Warning Text 2 4" xfId="1121" xr:uid="{00000000-0005-0000-0000-000017060000}"/>
    <cellStyle name="Warning Text 2 5" xfId="1122" xr:uid="{00000000-0005-0000-0000-000018060000}"/>
    <cellStyle name="Warning Text 3" xfId="1451" xr:uid="{00000000-0005-0000-0000-000019060000}"/>
    <cellStyle name="Warning Text 4" xfId="1506" xr:uid="{00000000-0005-0000-0000-00001A060000}"/>
  </cellStyles>
  <dxfs count="13">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FF00FF"/>
      <color rgb="FFCCFFCC"/>
      <color rgb="FFFFFF99"/>
      <color rgb="FF99FF99"/>
      <color rgb="FF99FFCC"/>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editAs="oneCell">
    <xdr:from>
      <xdr:col>3</xdr:col>
      <xdr:colOff>2619375</xdr:colOff>
      <xdr:row>39</xdr:row>
      <xdr:rowOff>0</xdr:rowOff>
    </xdr:from>
    <xdr:to>
      <xdr:col>3</xdr:col>
      <xdr:colOff>2711450</xdr:colOff>
      <xdr:row>40</xdr:row>
      <xdr:rowOff>12699</xdr:rowOff>
    </xdr:to>
    <xdr:sp macro="" textlink="">
      <xdr:nvSpPr>
        <xdr:cNvPr id="71004" name="Text Box 1">
          <a:extLst>
            <a:ext uri="{FF2B5EF4-FFF2-40B4-BE49-F238E27FC236}">
              <a16:creationId xmlns:a16="http://schemas.microsoft.com/office/drawing/2014/main" id="{00000000-0008-0000-0000-00005C150100}"/>
            </a:ext>
          </a:extLst>
        </xdr:cNvPr>
        <xdr:cNvSpPr txBox="1">
          <a:spLocks noChangeArrowheads="1"/>
        </xdr:cNvSpPr>
      </xdr:nvSpPr>
      <xdr:spPr bwMode="auto">
        <a:xfrm>
          <a:off x="3419475" y="702945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523875</xdr:colOff>
      <xdr:row>87</xdr:row>
      <xdr:rowOff>161925</xdr:rowOff>
    </xdr:to>
    <xdr:sp macro="" textlink="">
      <xdr:nvSpPr>
        <xdr:cNvPr id="64979" name="Text Box 1">
          <a:extLst>
            <a:ext uri="{FF2B5EF4-FFF2-40B4-BE49-F238E27FC236}">
              <a16:creationId xmlns:a16="http://schemas.microsoft.com/office/drawing/2014/main" id="{00000000-0008-0000-1000-0000D3FD0000}"/>
            </a:ext>
          </a:extLst>
        </xdr:cNvPr>
        <xdr:cNvSpPr txBox="1">
          <a:spLocks noChangeArrowheads="1"/>
        </xdr:cNvSpPr>
      </xdr:nvSpPr>
      <xdr:spPr bwMode="auto">
        <a:xfrm>
          <a:off x="4295775" y="1632585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523875</xdr:colOff>
      <xdr:row>87</xdr:row>
      <xdr:rowOff>161925</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295775" y="158591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73" dT="2024-09-19T12:50:56.45" personId="{00000000-0000-0000-0000-000000000000}" id="{29495C60-1B6F-4C55-B581-B2142DB84563}">
    <text>Should be opposite sign from FF1 p 114. and match the amount on FF1 p 266 column f line 8</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1"/>
  <sheetViews>
    <sheetView tabSelected="1" zoomScale="70" zoomScaleNormal="70" zoomScaleSheetLayoutView="88" zoomScalePageLayoutView="70" workbookViewId="0">
      <selection activeCell="G40" sqref="G40"/>
    </sheetView>
  </sheetViews>
  <sheetFormatPr defaultColWidth="11.453125" defaultRowHeight="15.5"/>
  <cols>
    <col min="1" max="1" width="4.1796875" style="6" customWidth="1"/>
    <col min="2" max="2" width="5.81640625" style="2" bestFit="1" customWidth="1"/>
    <col min="3" max="3" width="2" style="6" customWidth="1"/>
    <col min="4" max="4" width="47.54296875" style="6" customWidth="1"/>
    <col min="5" max="5" width="25.54296875" style="6" customWidth="1"/>
    <col min="6" max="6" width="12.54296875" style="6" customWidth="1"/>
    <col min="7" max="7" width="32.54296875" style="6" customWidth="1"/>
    <col min="8" max="8" width="2.54296875" style="6" customWidth="1"/>
    <col min="9" max="9" width="19.453125" style="6" bestFit="1" customWidth="1"/>
    <col min="10" max="10" width="2.54296875" style="6" customWidth="1"/>
    <col min="11" max="11" width="18" style="6" bestFit="1" customWidth="1"/>
    <col min="12" max="12" width="2.54296875" style="6" customWidth="1"/>
    <col min="13" max="13" width="21.54296875" style="6" customWidth="1"/>
    <col min="14" max="14" width="11.453125" style="6" customWidth="1"/>
    <col min="15" max="15" width="17.453125" style="6" customWidth="1"/>
    <col min="16" max="16" width="13.54296875" style="6" customWidth="1"/>
    <col min="17" max="17" width="2.81640625" style="6" customWidth="1"/>
    <col min="18" max="18" width="15" style="6" bestFit="1" customWidth="1"/>
    <col min="19" max="19" width="3.81640625" style="6" customWidth="1"/>
    <col min="20" max="20" width="16" style="6" bestFit="1" customWidth="1"/>
    <col min="21" max="16384" width="11.453125" style="6"/>
  </cols>
  <sheetData>
    <row r="1" spans="1:23">
      <c r="A1" s="207"/>
    </row>
    <row r="2" spans="1:23">
      <c r="A2" s="123"/>
      <c r="B2" s="123"/>
      <c r="C2" s="123"/>
      <c r="D2" s="123"/>
      <c r="E2" s="123"/>
      <c r="F2" s="123"/>
      <c r="G2" s="123"/>
      <c r="H2" s="123"/>
      <c r="J2" s="123"/>
      <c r="K2" s="123"/>
      <c r="L2" s="123"/>
      <c r="M2" s="55"/>
      <c r="N2" s="146"/>
    </row>
    <row r="3" spans="1:23">
      <c r="B3" s="11"/>
      <c r="C3" s="3"/>
      <c r="D3" s="3"/>
      <c r="E3" s="3"/>
      <c r="F3" s="3"/>
      <c r="G3" s="3"/>
      <c r="H3" s="3"/>
      <c r="J3" s="3"/>
      <c r="K3" s="3"/>
      <c r="L3" s="3"/>
      <c r="M3" s="55"/>
    </row>
    <row r="4" spans="1:23">
      <c r="B4" s="11"/>
      <c r="C4" s="3"/>
      <c r="D4" s="4"/>
      <c r="E4" s="4"/>
      <c r="F4" s="47" t="s">
        <v>644</v>
      </c>
      <c r="G4" s="119"/>
      <c r="H4" s="119"/>
      <c r="K4" s="4"/>
      <c r="L4" s="4"/>
    </row>
    <row r="5" spans="1:23">
      <c r="B5" s="11"/>
      <c r="C5" s="3"/>
      <c r="D5" s="4"/>
      <c r="E5" s="5"/>
      <c r="F5" s="164" t="s">
        <v>533</v>
      </c>
      <c r="G5" s="119"/>
      <c r="H5" s="119"/>
      <c r="K5" s="5"/>
      <c r="L5" s="4"/>
    </row>
    <row r="6" spans="1:23">
      <c r="B6" s="11"/>
      <c r="C6" s="3"/>
      <c r="D6" s="4"/>
      <c r="E6" s="4"/>
      <c r="F6" s="147" t="str">
        <f>"For the "&amp;'PSO TCOS'!$N$2&amp;" Rate Year "</f>
        <v xml:space="preserve">For the 2024 Rate Year </v>
      </c>
      <c r="G6" s="119"/>
      <c r="H6" s="119"/>
      <c r="K6" s="4"/>
      <c r="L6" s="4"/>
      <c r="M6" s="4"/>
    </row>
    <row r="7" spans="1:23">
      <c r="B7" s="10"/>
      <c r="C7" s="7"/>
      <c r="D7" s="4"/>
      <c r="H7" s="84"/>
      <c r="J7" s="84"/>
      <c r="K7" s="84"/>
      <c r="L7" s="84"/>
      <c r="M7" s="4"/>
    </row>
    <row r="8" spans="1:23">
      <c r="B8" s="10"/>
      <c r="C8" s="7"/>
      <c r="D8" s="4"/>
      <c r="F8" s="82" t="s">
        <v>686</v>
      </c>
      <c r="G8" s="46"/>
      <c r="H8" s="4"/>
      <c r="J8" s="4"/>
      <c r="K8" s="4"/>
      <c r="L8" s="4"/>
      <c r="O8" s="123"/>
      <c r="P8" s="123"/>
      <c r="Q8" s="123"/>
      <c r="R8" s="123"/>
      <c r="S8" s="123"/>
      <c r="T8" s="123"/>
      <c r="U8" s="123"/>
      <c r="V8" s="123"/>
      <c r="W8" s="123"/>
    </row>
    <row r="9" spans="1:23">
      <c r="B9" s="10"/>
      <c r="C9" s="7"/>
      <c r="D9" s="4"/>
      <c r="E9" s="4"/>
      <c r="F9" s="84"/>
      <c r="G9" s="46"/>
      <c r="H9" s="4"/>
      <c r="I9" s="148" t="s">
        <v>119</v>
      </c>
      <c r="J9" s="4"/>
      <c r="K9" s="85" t="s">
        <v>534</v>
      </c>
      <c r="L9" s="85"/>
      <c r="M9" s="149" t="s">
        <v>535</v>
      </c>
      <c r="O9" s="123"/>
      <c r="P9" s="123"/>
      <c r="Q9" s="123"/>
      <c r="R9" s="123"/>
      <c r="S9" s="123"/>
      <c r="T9" s="123"/>
      <c r="U9" s="123"/>
      <c r="V9" s="123"/>
      <c r="W9" s="123"/>
    </row>
    <row r="10" spans="1:23">
      <c r="B10" s="10" t="s">
        <v>308</v>
      </c>
      <c r="C10" s="7"/>
      <c r="D10" s="4"/>
      <c r="E10" s="4"/>
      <c r="F10" s="85"/>
      <c r="G10" s="46"/>
      <c r="H10" s="4"/>
      <c r="I10" s="148" t="s">
        <v>32</v>
      </c>
      <c r="J10" s="4"/>
      <c r="K10" s="85" t="s">
        <v>32</v>
      </c>
      <c r="L10" s="85"/>
      <c r="M10" s="85" t="s">
        <v>32</v>
      </c>
      <c r="O10" s="123"/>
      <c r="P10" s="123"/>
      <c r="Q10" s="123"/>
      <c r="R10" s="123"/>
      <c r="S10" s="123"/>
      <c r="T10" s="123"/>
      <c r="U10" s="123"/>
      <c r="V10" s="123"/>
      <c r="W10" s="123"/>
    </row>
    <row r="11" spans="1:23" ht="16" thickBot="1">
      <c r="B11" s="86" t="s">
        <v>257</v>
      </c>
      <c r="C11" s="7"/>
      <c r="D11" s="4"/>
      <c r="E11" s="7"/>
      <c r="F11" s="4"/>
      <c r="G11" s="4"/>
      <c r="H11" s="4"/>
      <c r="I11" s="148" t="s">
        <v>122</v>
      </c>
      <c r="J11" s="4"/>
      <c r="K11" s="148" t="s">
        <v>122</v>
      </c>
      <c r="L11" s="85"/>
      <c r="M11" s="148" t="s">
        <v>122</v>
      </c>
      <c r="O11" s="123"/>
      <c r="P11" s="123"/>
      <c r="Q11" s="123"/>
      <c r="R11" s="123"/>
      <c r="S11" s="123"/>
      <c r="T11" s="123"/>
      <c r="U11" s="123"/>
      <c r="V11" s="123"/>
      <c r="W11" s="123"/>
    </row>
    <row r="12" spans="1:23">
      <c r="B12" s="10"/>
      <c r="C12" s="7"/>
      <c r="D12" s="4"/>
      <c r="E12" s="7"/>
      <c r="F12" s="4"/>
      <c r="G12" s="4"/>
      <c r="H12" s="4"/>
      <c r="J12" s="4"/>
      <c r="L12" s="4"/>
      <c r="O12" s="123"/>
      <c r="P12" s="123"/>
      <c r="Q12" s="123"/>
      <c r="R12" s="123"/>
      <c r="S12" s="123"/>
      <c r="T12" s="123"/>
      <c r="U12" s="123"/>
      <c r="V12" s="123"/>
      <c r="W12" s="123"/>
    </row>
    <row r="13" spans="1:23">
      <c r="A13" s="148" t="s">
        <v>123</v>
      </c>
      <c r="B13" s="199" t="s">
        <v>536</v>
      </c>
      <c r="C13" s="7"/>
      <c r="D13" s="4"/>
      <c r="E13" s="7"/>
      <c r="F13" s="4"/>
      <c r="G13" s="4"/>
      <c r="H13" s="4"/>
      <c r="J13" s="4"/>
      <c r="K13" s="470"/>
      <c r="L13" s="4"/>
      <c r="M13" s="470"/>
      <c r="O13" s="123"/>
      <c r="P13" s="123"/>
      <c r="Q13" s="123"/>
      <c r="R13" s="123"/>
      <c r="S13" s="123"/>
      <c r="T13" s="123"/>
      <c r="U13" s="123"/>
      <c r="V13" s="123"/>
      <c r="W13" s="123"/>
    </row>
    <row r="14" spans="1:23">
      <c r="A14" s="148"/>
      <c r="B14" s="10">
        <v>1</v>
      </c>
      <c r="C14" s="7"/>
      <c r="D14" s="119" t="s">
        <v>537</v>
      </c>
      <c r="E14" s="7"/>
      <c r="F14" s="4"/>
      <c r="G14" s="7" t="str">
        <f>"(TCOS Line "&amp;'PSO TCOS'!B12&amp;" )"</f>
        <v>(TCOS Line 1 )</v>
      </c>
      <c r="H14" s="4"/>
      <c r="I14" s="494">
        <f>+K14+M14</f>
        <v>442767912.61996484</v>
      </c>
      <c r="J14" s="495"/>
      <c r="K14" s="496">
        <f>+'PSO TCOS'!L12</f>
        <v>134973025.19654</v>
      </c>
      <c r="L14" s="495"/>
      <c r="M14" s="496">
        <f>+'SWEPCO TCOS'!L12</f>
        <v>307794887.42342484</v>
      </c>
      <c r="N14" s="151"/>
      <c r="O14" s="123"/>
      <c r="P14" s="469"/>
      <c r="Q14" s="469"/>
      <c r="R14" s="469"/>
      <c r="S14" s="469"/>
      <c r="T14" s="469"/>
      <c r="U14" s="123"/>
      <c r="V14" s="123"/>
      <c r="W14" s="123"/>
    </row>
    <row r="15" spans="1:23">
      <c r="A15" s="148"/>
      <c r="B15" s="10"/>
      <c r="C15" s="7"/>
      <c r="D15" s="119"/>
      <c r="E15" s="7"/>
      <c r="F15" s="4"/>
      <c r="G15" s="4"/>
      <c r="H15" s="4"/>
      <c r="I15" s="494"/>
      <c r="J15" s="495"/>
      <c r="K15" s="496"/>
      <c r="L15" s="495"/>
      <c r="M15" s="496"/>
      <c r="O15" s="123"/>
      <c r="P15" s="469"/>
      <c r="Q15" s="469"/>
      <c r="R15" s="469"/>
      <c r="S15" s="469"/>
      <c r="T15" s="469"/>
      <c r="U15" s="123"/>
      <c r="V15" s="123"/>
      <c r="W15" s="123"/>
    </row>
    <row r="16" spans="1:23">
      <c r="A16" s="148"/>
      <c r="B16" s="10">
        <f>+B14+1</f>
        <v>2</v>
      </c>
      <c r="C16" s="7"/>
      <c r="D16" s="4" t="s">
        <v>539</v>
      </c>
      <c r="E16" s="7"/>
      <c r="F16" s="4"/>
      <c r="G16" s="7" t="str">
        <f>"(TCOS Line "&amp;'PSO TCOS'!B14&amp;" )"</f>
        <v>(TCOS Line 2 )</v>
      </c>
      <c r="H16" s="4"/>
      <c r="I16" s="494">
        <f>(K16+M16)</f>
        <v>40057518.214000002</v>
      </c>
      <c r="J16" s="495"/>
      <c r="K16" s="496">
        <f>+'PSO TCOS'!L14</f>
        <v>20850146.319999993</v>
      </c>
      <c r="L16" s="496"/>
      <c r="M16" s="496">
        <f>+'SWEPCO TCOS'!L14</f>
        <v>19207371.894000009</v>
      </c>
      <c r="O16" s="123"/>
      <c r="P16" s="469"/>
      <c r="Q16" s="469"/>
      <c r="R16" s="469"/>
      <c r="S16" s="469"/>
      <c r="T16" s="469"/>
      <c r="U16" s="123"/>
      <c r="V16" s="123"/>
      <c r="W16" s="123"/>
    </row>
    <row r="17" spans="1:23">
      <c r="A17" s="148"/>
      <c r="B17" s="199"/>
      <c r="C17" s="7"/>
      <c r="D17" s="4"/>
      <c r="E17" s="7"/>
      <c r="F17" s="4"/>
      <c r="G17" s="4"/>
      <c r="H17" s="4"/>
      <c r="I17" s="497"/>
      <c r="J17" s="495"/>
      <c r="K17" s="497"/>
      <c r="L17" s="495"/>
      <c r="M17" s="497"/>
      <c r="O17" s="123"/>
      <c r="P17" s="469"/>
      <c r="Q17" s="469"/>
      <c r="R17" s="469"/>
      <c r="S17" s="469"/>
      <c r="T17" s="469"/>
      <c r="U17" s="123"/>
      <c r="V17" s="123"/>
      <c r="W17" s="123"/>
    </row>
    <row r="18" spans="1:23">
      <c r="A18" s="148"/>
      <c r="B18" s="10">
        <f>+B16+1</f>
        <v>3</v>
      </c>
      <c r="C18" s="7"/>
      <c r="D18" s="119" t="s">
        <v>538</v>
      </c>
      <c r="E18" s="7"/>
      <c r="F18" s="4"/>
      <c r="G18" s="7" t="str">
        <f>"(TCOS Line "&amp;'PSO TCOS'!B16&amp;" )"</f>
        <v>(TCOS Line 3 )</v>
      </c>
      <c r="H18" s="4"/>
      <c r="I18" s="496">
        <f>+K18+M18</f>
        <v>0</v>
      </c>
      <c r="J18" s="495"/>
      <c r="K18" s="496">
        <f>+'PSO TCOS'!L16</f>
        <v>0</v>
      </c>
      <c r="L18" s="495"/>
      <c r="M18" s="496">
        <f>+'SWEPCO TCOS'!L16</f>
        <v>0</v>
      </c>
      <c r="O18" s="123"/>
      <c r="P18" s="469"/>
      <c r="Q18" s="469"/>
      <c r="R18" s="469"/>
      <c r="S18" s="469"/>
      <c r="T18" s="469"/>
      <c r="U18" s="123"/>
      <c r="V18" s="123"/>
      <c r="W18" s="123"/>
    </row>
    <row r="19" spans="1:23">
      <c r="A19" s="148"/>
      <c r="B19" s="10"/>
      <c r="C19" s="7"/>
      <c r="D19" s="119"/>
      <c r="E19" s="7"/>
      <c r="F19" s="4"/>
      <c r="G19" s="4"/>
      <c r="H19" s="4"/>
      <c r="I19" s="494"/>
      <c r="J19" s="495"/>
      <c r="K19" s="496"/>
      <c r="L19" s="495"/>
      <c r="M19" s="496"/>
      <c r="O19" s="123"/>
      <c r="P19" s="469"/>
      <c r="Q19" s="469"/>
      <c r="R19" s="469"/>
      <c r="S19" s="469"/>
      <c r="T19" s="469"/>
      <c r="U19" s="123"/>
      <c r="V19" s="123"/>
      <c r="W19" s="123"/>
    </row>
    <row r="20" spans="1:23">
      <c r="B20" s="10">
        <f>+B18+1</f>
        <v>4</v>
      </c>
      <c r="C20" s="7"/>
      <c r="D20" s="119" t="s">
        <v>540</v>
      </c>
      <c r="F20" s="54"/>
      <c r="G20" s="7" t="str">
        <f>"(TCOS Line "&amp;'PSO TCOS'!B18&amp;" )"</f>
        <v>(TCOS Line 4 )</v>
      </c>
      <c r="H20" s="3"/>
      <c r="I20" s="498">
        <f>+K20+M20</f>
        <v>402710394.40596485</v>
      </c>
      <c r="J20" s="497"/>
      <c r="K20" s="498">
        <f>+K14+K18-K16</f>
        <v>114122878.87654001</v>
      </c>
      <c r="L20" s="497"/>
      <c r="M20" s="498">
        <f>+M14+M18-M16</f>
        <v>288587515.52942485</v>
      </c>
      <c r="O20" s="123"/>
      <c r="P20" s="469"/>
      <c r="Q20" s="469"/>
      <c r="R20" s="469"/>
      <c r="S20" s="469"/>
      <c r="T20" s="469"/>
      <c r="U20" s="123"/>
      <c r="V20" s="123"/>
      <c r="W20" s="123"/>
    </row>
    <row r="21" spans="1:23">
      <c r="B21" s="10"/>
      <c r="C21" s="7"/>
      <c r="D21" s="119"/>
      <c r="E21" s="4"/>
      <c r="F21" s="54"/>
      <c r="G21" s="3"/>
      <c r="H21" s="3"/>
      <c r="I21" s="497"/>
      <c r="J21" s="497"/>
      <c r="K21" s="499">
        <f>K20/I20</f>
        <v>0.28338697103878291</v>
      </c>
      <c r="L21" s="497"/>
      <c r="M21" s="499">
        <f>1-K21</f>
        <v>0.71661302896121715</v>
      </c>
      <c r="O21" s="123"/>
      <c r="P21" s="469"/>
      <c r="Q21" s="469"/>
      <c r="R21" s="469"/>
      <c r="S21" s="469"/>
      <c r="T21" s="469"/>
      <c r="U21" s="123"/>
      <c r="V21" s="123"/>
      <c r="W21" s="123"/>
    </row>
    <row r="22" spans="1:23">
      <c r="B22" s="10">
        <f>+B20+1</f>
        <v>5</v>
      </c>
      <c r="C22" s="7"/>
      <c r="D22" s="119" t="s">
        <v>541</v>
      </c>
      <c r="E22" s="4"/>
      <c r="F22" s="54"/>
      <c r="G22" s="3"/>
      <c r="H22" s="3"/>
      <c r="I22" s="497"/>
      <c r="J22" s="497"/>
      <c r="K22" s="497"/>
      <c r="L22" s="497"/>
      <c r="M22" s="497"/>
      <c r="O22" s="123"/>
      <c r="P22" s="469"/>
      <c r="Q22" s="469"/>
      <c r="R22" s="469"/>
      <c r="S22" s="469"/>
      <c r="T22" s="469"/>
      <c r="U22" s="123"/>
      <c r="V22" s="123"/>
      <c r="W22" s="123"/>
    </row>
    <row r="23" spans="1:23">
      <c r="B23" s="10">
        <f>+B22+1</f>
        <v>6</v>
      </c>
      <c r="C23" s="7"/>
      <c r="D23" s="119" t="s">
        <v>542</v>
      </c>
      <c r="E23" s="4"/>
      <c r="F23" s="54"/>
      <c r="G23" s="7" t="str">
        <f>"(TCOS Line "&amp;'PSO TCOS'!B23&amp;" )"</f>
        <v>(TCOS Line 5 )</v>
      </c>
      <c r="H23" s="3"/>
      <c r="I23" s="494">
        <f>(K23+M23)</f>
        <v>95090292.968413606</v>
      </c>
      <c r="J23" s="497"/>
      <c r="K23" s="496">
        <f>+'PSO TCOS'!L23</f>
        <v>10194766.21853902</v>
      </c>
      <c r="L23" s="496"/>
      <c r="M23" s="496">
        <f>+'SWEPCO TCOS'!L23</f>
        <v>84895526.749874592</v>
      </c>
      <c r="N23" s="286"/>
      <c r="O23" s="123"/>
      <c r="P23" s="469"/>
      <c r="Q23" s="469"/>
      <c r="R23" s="469"/>
      <c r="S23" s="469"/>
      <c r="T23" s="469"/>
      <c r="U23" s="123"/>
      <c r="V23" s="123"/>
      <c r="W23" s="123"/>
    </row>
    <row r="24" spans="1:23">
      <c r="B24" s="10">
        <f>+B23+1</f>
        <v>7</v>
      </c>
      <c r="C24" s="7"/>
      <c r="D24" s="119" t="s">
        <v>543</v>
      </c>
      <c r="E24" s="4"/>
      <c r="F24" s="54"/>
      <c r="G24" s="7" t="str">
        <f>"(Worksheet F/G)"</f>
        <v>(Worksheet F/G)</v>
      </c>
      <c r="H24" s="3"/>
      <c r="I24" s="494">
        <f>+K24+M24</f>
        <v>0</v>
      </c>
      <c r="J24" s="497"/>
      <c r="K24" s="494">
        <v>0</v>
      </c>
      <c r="L24" s="494"/>
      <c r="M24" s="494">
        <v>0</v>
      </c>
      <c r="O24" s="123"/>
      <c r="P24" s="469"/>
      <c r="Q24" s="469"/>
      <c r="R24" s="469"/>
      <c r="S24" s="469"/>
      <c r="T24" s="469"/>
      <c r="U24" s="123"/>
      <c r="V24" s="123"/>
      <c r="W24" s="123"/>
    </row>
    <row r="25" spans="1:23">
      <c r="B25" s="10">
        <f>+B24+1</f>
        <v>8</v>
      </c>
      <c r="C25" s="7"/>
      <c r="D25" s="119" t="s">
        <v>544</v>
      </c>
      <c r="E25" s="4"/>
      <c r="F25" s="54"/>
      <c r="G25" s="7" t="str">
        <f>"(Worksheet F/G)"</f>
        <v>(Worksheet F/G)</v>
      </c>
      <c r="H25" s="3"/>
      <c r="I25" s="500">
        <f>+K25+M25</f>
        <v>0</v>
      </c>
      <c r="J25" s="497"/>
      <c r="K25" s="500">
        <v>0</v>
      </c>
      <c r="L25" s="494"/>
      <c r="M25" s="500">
        <v>0</v>
      </c>
      <c r="O25" s="123"/>
      <c r="P25" s="469"/>
      <c r="Q25" s="469"/>
      <c r="R25" s="469"/>
      <c r="S25" s="469"/>
      <c r="T25" s="469"/>
      <c r="U25" s="123"/>
      <c r="V25" s="123"/>
      <c r="W25" s="123"/>
    </row>
    <row r="26" spans="1:23">
      <c r="B26" s="10">
        <f>+B25+1</f>
        <v>9</v>
      </c>
      <c r="C26" s="7"/>
      <c r="D26" s="154" t="s">
        <v>545</v>
      </c>
      <c r="E26" s="4" t="s">
        <v>254</v>
      </c>
      <c r="F26" s="54"/>
      <c r="G26" s="3"/>
      <c r="H26" s="3"/>
      <c r="I26" s="494">
        <f>(I25+I24+I23)</f>
        <v>95090292.968413606</v>
      </c>
      <c r="J26" s="497"/>
      <c r="K26" s="494">
        <f>+K25+K24+K23</f>
        <v>10194766.21853902</v>
      </c>
      <c r="L26" s="494"/>
      <c r="M26" s="494">
        <f>+M25+M24+M23</f>
        <v>84895526.749874592</v>
      </c>
      <c r="O26" s="123"/>
      <c r="P26" s="469"/>
      <c r="Q26" s="469"/>
      <c r="R26" s="469"/>
      <c r="S26" s="469"/>
      <c r="T26" s="469"/>
      <c r="U26" s="123"/>
      <c r="V26" s="123"/>
      <c r="W26" s="123"/>
    </row>
    <row r="27" spans="1:23">
      <c r="B27" s="10"/>
      <c r="C27" s="7"/>
      <c r="D27" s="119"/>
      <c r="E27" s="4"/>
      <c r="F27" s="54"/>
      <c r="G27" s="3"/>
      <c r="H27" s="3"/>
      <c r="I27" s="500"/>
      <c r="J27" s="497"/>
      <c r="K27" s="500"/>
      <c r="L27" s="494"/>
      <c r="M27" s="500"/>
      <c r="O27" s="123"/>
      <c r="P27" s="469"/>
      <c r="Q27" s="469"/>
      <c r="R27" s="469"/>
      <c r="S27" s="469"/>
      <c r="T27" s="469"/>
      <c r="U27" s="123"/>
      <c r="V27" s="123"/>
      <c r="W27" s="123"/>
    </row>
    <row r="28" spans="1:23">
      <c r="B28" s="10">
        <f>+B26+1</f>
        <v>10</v>
      </c>
      <c r="C28" s="7"/>
      <c r="D28" s="119" t="s">
        <v>546</v>
      </c>
      <c r="E28" s="4"/>
      <c r="G28" s="54" t="str">
        <f>"(Line "&amp;B20&amp;"- Line "&amp;B26&amp;")"</f>
        <v>(Line 4- Line 9)</v>
      </c>
      <c r="H28" s="3"/>
      <c r="I28" s="494">
        <f>(K28+M28)</f>
        <v>307620101.43755126</v>
      </c>
      <c r="J28" s="497"/>
      <c r="K28" s="494">
        <f>+K20-K26</f>
        <v>103928112.65800099</v>
      </c>
      <c r="L28" s="494"/>
      <c r="M28" s="494">
        <f>+M20-M26</f>
        <v>203691988.77955025</v>
      </c>
      <c r="O28" s="123"/>
      <c r="P28" s="469"/>
      <c r="Q28" s="469"/>
      <c r="R28" s="469"/>
      <c r="S28" s="469"/>
      <c r="T28" s="469"/>
      <c r="U28" s="123"/>
      <c r="V28" s="123"/>
      <c r="W28" s="123"/>
    </row>
    <row r="29" spans="1:23">
      <c r="B29" s="6"/>
      <c r="C29" s="7"/>
      <c r="E29" s="4"/>
      <c r="G29" s="3"/>
      <c r="H29" s="3"/>
      <c r="I29" s="497"/>
      <c r="J29" s="497"/>
      <c r="K29" s="497"/>
      <c r="L29" s="497"/>
      <c r="M29" s="497"/>
      <c r="O29" s="123"/>
      <c r="P29" s="469"/>
      <c r="Q29" s="469"/>
      <c r="R29" s="469"/>
      <c r="S29" s="469"/>
      <c r="T29" s="469"/>
      <c r="U29" s="123"/>
      <c r="V29" s="123"/>
      <c r="W29" s="123"/>
    </row>
    <row r="30" spans="1:23">
      <c r="B30" s="1794" t="s">
        <v>1266</v>
      </c>
      <c r="C30" s="7"/>
      <c r="D30" s="6" t="s">
        <v>1267</v>
      </c>
      <c r="E30" s="4"/>
      <c r="G30" s="3"/>
      <c r="H30" s="3"/>
      <c r="I30" s="494">
        <f>(K30+M30)</f>
        <v>-1007.1284309625626</v>
      </c>
      <c r="J30" s="497"/>
      <c r="K30" s="2440">
        <v>-684.51963323354721</v>
      </c>
      <c r="L30" s="494"/>
      <c r="M30" s="2440">
        <v>-322.60879772901535</v>
      </c>
      <c r="N30" s="286"/>
      <c r="O30"/>
      <c r="P30"/>
      <c r="Q30" s="469"/>
      <c r="R30" s="469"/>
      <c r="S30" s="469"/>
      <c r="T30" s="469"/>
      <c r="U30" s="123"/>
      <c r="V30" s="123"/>
      <c r="W30" s="123"/>
    </row>
    <row r="31" spans="1:23">
      <c r="B31" s="6"/>
      <c r="C31" s="7"/>
      <c r="E31" s="4"/>
      <c r="G31" s="3"/>
      <c r="H31" s="3"/>
      <c r="I31" s="497"/>
      <c r="J31" s="497"/>
      <c r="K31" s="497"/>
      <c r="L31" s="497"/>
      <c r="M31" s="497"/>
      <c r="O31" s="123"/>
      <c r="P31" s="469"/>
      <c r="Q31" s="469"/>
      <c r="R31" s="469"/>
      <c r="S31" s="469"/>
      <c r="T31" s="469"/>
      <c r="U31" s="123"/>
      <c r="V31" s="123"/>
      <c r="W31" s="123"/>
    </row>
    <row r="32" spans="1:23">
      <c r="B32" s="10">
        <f>+B28+1</f>
        <v>11</v>
      </c>
      <c r="C32" s="7"/>
      <c r="D32" s="119" t="s">
        <v>547</v>
      </c>
      <c r="E32" s="4"/>
      <c r="F32" s="54"/>
      <c r="G32" s="7" t="str">
        <f>"(TCOS Line "&amp;'PSO TCOS'!B35&amp;" )"</f>
        <v>(TCOS Line 13 )</v>
      </c>
      <c r="H32" s="3"/>
      <c r="I32" s="494">
        <f>+K32+M32</f>
        <v>0</v>
      </c>
      <c r="J32" s="497"/>
      <c r="K32" s="494">
        <f>+'PSO TCOS'!L35</f>
        <v>0</v>
      </c>
      <c r="L32" s="494"/>
      <c r="M32" s="494">
        <f>+'SWEPCO TCOS'!L35</f>
        <v>0</v>
      </c>
      <c r="O32" s="2259"/>
      <c r="P32" s="2259"/>
      <c r="Q32" s="2259"/>
      <c r="R32" s="2259"/>
      <c r="S32" s="2259"/>
      <c r="T32" s="2259"/>
      <c r="U32" s="123"/>
      <c r="V32" s="123"/>
      <c r="W32" s="123"/>
    </row>
    <row r="33" spans="2:23" ht="16" thickBot="1">
      <c r="B33" s="10"/>
      <c r="C33" s="7"/>
      <c r="D33" s="119"/>
      <c r="E33" s="4"/>
      <c r="F33" s="54"/>
      <c r="G33" s="3"/>
      <c r="H33" s="3"/>
      <c r="I33" s="501"/>
      <c r="J33" s="497"/>
      <c r="K33" s="501"/>
      <c r="L33" s="494"/>
      <c r="M33" s="501"/>
      <c r="O33" s="123"/>
      <c r="P33" s="469"/>
      <c r="Q33" s="469"/>
      <c r="R33" s="469"/>
      <c r="S33" s="469"/>
      <c r="T33" s="469"/>
      <c r="U33" s="123"/>
      <c r="V33" s="123"/>
      <c r="W33" s="123"/>
    </row>
    <row r="34" spans="2:23" ht="16" thickBot="1">
      <c r="B34" s="195">
        <f>+B32+1</f>
        <v>12</v>
      </c>
      <c r="C34" s="155"/>
      <c r="D34" s="194" t="s">
        <v>548</v>
      </c>
      <c r="E34" s="156"/>
      <c r="F34" s="157"/>
      <c r="G34" s="193" t="str">
        <f>"(Line "&amp;B28&amp;" + Line "&amp;B30&amp;" + Line "&amp;B32&amp;")"</f>
        <v>(Line 10 + Line 10A + Line 11)</v>
      </c>
      <c r="H34" s="158"/>
      <c r="I34" s="502">
        <f>(I28+I30+I32)</f>
        <v>307619094.3091203</v>
      </c>
      <c r="J34" s="503"/>
      <c r="K34" s="502">
        <f>(K28+K30+K32)</f>
        <v>103927428.13836776</v>
      </c>
      <c r="L34" s="502"/>
      <c r="M34" s="502">
        <f>(M28+M30+M32)</f>
        <v>203691666.17075253</v>
      </c>
      <c r="O34" s="2250"/>
      <c r="P34" s="469"/>
      <c r="Q34" s="469"/>
      <c r="R34" s="469"/>
      <c r="S34" s="469"/>
      <c r="T34" s="469"/>
      <c r="U34" s="123"/>
      <c r="V34" s="123"/>
      <c r="W34" s="123"/>
    </row>
    <row r="35" spans="2:23">
      <c r="B35" s="10"/>
      <c r="C35" s="7"/>
      <c r="D35" s="119"/>
      <c r="E35" s="4"/>
      <c r="G35" s="54"/>
      <c r="H35" s="3"/>
      <c r="I35" s="494"/>
      <c r="J35" s="497"/>
      <c r="K35" s="494"/>
      <c r="L35" s="494"/>
      <c r="M35" s="494"/>
      <c r="O35" s="123"/>
      <c r="P35" s="469"/>
      <c r="Q35" s="469"/>
      <c r="R35" s="469"/>
      <c r="S35" s="469"/>
      <c r="T35" s="469"/>
      <c r="U35" s="123"/>
      <c r="V35" s="123"/>
      <c r="W35" s="123"/>
    </row>
    <row r="36" spans="2:23">
      <c r="B36" s="10">
        <f>B34+1</f>
        <v>13</v>
      </c>
      <c r="C36" s="7"/>
      <c r="D36" s="119" t="s">
        <v>549</v>
      </c>
      <c r="E36" s="196"/>
      <c r="F36" s="197"/>
      <c r="G36" s="8" t="str">
        <f>"(Load WS, ln "&amp;'Load WS'!A50&amp;")"</f>
        <v>(Load WS, ln )</v>
      </c>
      <c r="H36" s="159"/>
      <c r="I36" s="494">
        <f>+M36</f>
        <v>8487.5833333333339</v>
      </c>
      <c r="J36" s="497"/>
      <c r="K36" s="494">
        <f>I36</f>
        <v>8487.5833333333339</v>
      </c>
      <c r="L36" s="494"/>
      <c r="M36" s="494">
        <f>+'Load WS'!Q33</f>
        <v>8487.5833333333339</v>
      </c>
      <c r="O36" s="123"/>
      <c r="P36" s="469"/>
      <c r="Q36" s="469"/>
      <c r="R36" s="469"/>
      <c r="S36" s="469"/>
      <c r="T36" s="469"/>
      <c r="U36" s="123"/>
      <c r="V36" s="123"/>
      <c r="W36" s="123"/>
    </row>
    <row r="37" spans="2:23">
      <c r="B37" s="10"/>
      <c r="C37" s="7"/>
      <c r="D37" s="160"/>
      <c r="E37" s="196"/>
      <c r="F37" s="197"/>
      <c r="G37" s="198"/>
      <c r="H37" s="159"/>
      <c r="I37" s="504"/>
      <c r="J37" s="505"/>
      <c r="K37" s="504"/>
      <c r="L37" s="494"/>
      <c r="M37" s="494"/>
      <c r="O37" s="123"/>
      <c r="P37" s="469"/>
      <c r="Q37" s="469"/>
      <c r="R37" s="469"/>
      <c r="S37" s="469"/>
      <c r="T37" s="469"/>
      <c r="U37" s="123"/>
      <c r="V37" s="123"/>
      <c r="W37" s="123"/>
    </row>
    <row r="38" spans="2:23">
      <c r="B38" s="10">
        <f>B36+1</f>
        <v>14</v>
      </c>
      <c r="C38" s="7"/>
      <c r="D38" s="160" t="str">
        <f>"Monthly NITS Rate in $/MW - Month"</f>
        <v>Monthly NITS Rate in $/MW - Month</v>
      </c>
      <c r="E38" s="196"/>
      <c r="F38" s="197"/>
      <c r="G38" s="1795" t="str">
        <f>"(Line "&amp;B34&amp;" / Line "&amp;B36&amp;") /12 "</f>
        <v xml:space="preserve">(Line 12 / Line 13) /12 </v>
      </c>
      <c r="H38" s="159"/>
      <c r="I38" s="506">
        <f>ROUND((I34/I36)/12,2)</f>
        <v>3020.29</v>
      </c>
      <c r="J38" s="505"/>
      <c r="K38" s="506">
        <f>ROUND((K34/K36)/12,2)</f>
        <v>1020.39</v>
      </c>
      <c r="L38" s="494"/>
      <c r="M38" s="506">
        <f>ROUND((M34/M36)/12,2)</f>
        <v>1999.9</v>
      </c>
      <c r="O38" s="123"/>
      <c r="P38" s="469"/>
      <c r="Q38" s="469"/>
      <c r="R38" s="469"/>
      <c r="S38" s="469"/>
      <c r="T38" s="469"/>
      <c r="U38" s="123"/>
      <c r="V38" s="123"/>
      <c r="W38" s="123"/>
    </row>
    <row r="39" spans="2:23">
      <c r="B39" s="10"/>
      <c r="C39" s="7"/>
      <c r="D39" s="119"/>
      <c r="E39" s="4"/>
      <c r="G39" s="54"/>
      <c r="H39" s="3"/>
      <c r="I39" s="150"/>
      <c r="J39" s="3"/>
      <c r="K39" s="153"/>
      <c r="L39" s="153"/>
      <c r="M39" s="153"/>
      <c r="O39" s="123"/>
      <c r="P39" s="123"/>
      <c r="Q39" s="123"/>
      <c r="R39" s="123"/>
      <c r="S39" s="123"/>
      <c r="T39" s="123"/>
      <c r="U39" s="123"/>
      <c r="V39" s="123"/>
      <c r="W39" s="123"/>
    </row>
    <row r="40" spans="2:23">
      <c r="B40" s="10"/>
      <c r="C40" s="7"/>
      <c r="D40" s="119"/>
      <c r="E40" s="4"/>
      <c r="F40" s="54"/>
      <c r="G40" s="2251"/>
      <c r="H40" s="3"/>
      <c r="I40" s="150"/>
      <c r="J40" s="3"/>
      <c r="K40" s="2249"/>
      <c r="L40" s="153"/>
      <c r="M40" s="2249"/>
      <c r="O40" s="123"/>
      <c r="P40" s="123"/>
      <c r="Q40" s="123"/>
      <c r="R40" s="123"/>
      <c r="S40" s="123"/>
      <c r="T40" s="123"/>
      <c r="U40" s="123"/>
      <c r="V40" s="123"/>
      <c r="W40" s="123"/>
    </row>
    <row r="41" spans="2:23">
      <c r="B41" s="1"/>
      <c r="C41" s="9"/>
      <c r="D41" s="9"/>
      <c r="E41" s="9"/>
      <c r="F41" s="9"/>
      <c r="G41" s="9"/>
      <c r="H41" s="9"/>
      <c r="I41" s="9"/>
      <c r="J41" s="9"/>
      <c r="K41" s="9"/>
      <c r="L41" s="9"/>
      <c r="M41" s="123"/>
      <c r="N41" s="9"/>
      <c r="O41" s="123"/>
      <c r="P41" s="123"/>
      <c r="Q41" s="123"/>
      <c r="R41" s="123"/>
      <c r="S41" s="123"/>
      <c r="T41" s="123"/>
      <c r="U41" s="123"/>
      <c r="V41" s="123"/>
      <c r="W41" s="123"/>
    </row>
    <row r="42" spans="2:23">
      <c r="B42" s="1"/>
      <c r="C42" s="9"/>
      <c r="D42" s="9"/>
      <c r="E42" s="9"/>
      <c r="F42" s="9"/>
      <c r="G42" s="9"/>
      <c r="H42" s="9"/>
      <c r="I42" s="9"/>
      <c r="J42" s="9"/>
      <c r="K42" s="163"/>
      <c r="L42" s="9"/>
      <c r="M42" s="123"/>
      <c r="N42" s="9"/>
      <c r="O42" s="123"/>
      <c r="P42" s="123"/>
      <c r="Q42" s="123"/>
      <c r="R42" s="123"/>
      <c r="S42" s="123"/>
      <c r="T42" s="123"/>
      <c r="U42" s="123"/>
      <c r="V42" s="123"/>
      <c r="W42" s="123"/>
    </row>
    <row r="43" spans="2:23">
      <c r="B43" s="1"/>
      <c r="C43" s="9"/>
      <c r="D43" s="9"/>
      <c r="E43" s="9"/>
      <c r="F43" s="9"/>
      <c r="G43" s="9"/>
      <c r="H43" s="9"/>
      <c r="I43" s="161"/>
      <c r="J43" s="9"/>
      <c r="K43" s="9"/>
      <c r="L43" s="9"/>
      <c r="M43" s="123"/>
      <c r="N43" s="9"/>
      <c r="O43" s="9"/>
      <c r="P43" s="9"/>
      <c r="Q43" s="9"/>
      <c r="R43" s="9"/>
      <c r="S43" s="9"/>
      <c r="T43" s="9"/>
      <c r="U43" s="9"/>
      <c r="V43" s="9"/>
      <c r="W43" s="9"/>
    </row>
    <row r="44" spans="2:23">
      <c r="B44" s="1"/>
      <c r="C44" s="9"/>
      <c r="D44" s="9"/>
      <c r="E44" s="9"/>
      <c r="F44" s="9"/>
      <c r="G44" s="9"/>
      <c r="H44" s="9"/>
      <c r="I44" s="9"/>
      <c r="J44" s="9"/>
      <c r="K44" s="9"/>
      <c r="L44" s="9"/>
      <c r="M44" s="123"/>
      <c r="N44" s="9"/>
      <c r="O44" s="9"/>
      <c r="P44" s="9"/>
      <c r="Q44" s="9"/>
      <c r="R44" s="9"/>
      <c r="S44" s="9"/>
      <c r="T44" s="9"/>
      <c r="U44" s="9"/>
      <c r="V44" s="9"/>
      <c r="W44" s="9"/>
    </row>
    <row r="45" spans="2:23">
      <c r="B45" s="1"/>
      <c r="C45" s="9"/>
      <c r="D45" s="9"/>
      <c r="E45" s="9"/>
      <c r="F45" s="9"/>
      <c r="G45" s="9"/>
      <c r="H45" s="9"/>
      <c r="I45" s="9"/>
      <c r="J45" s="9"/>
      <c r="K45" s="9"/>
      <c r="L45" s="9"/>
      <c r="M45" s="9"/>
      <c r="N45" s="9"/>
      <c r="O45" s="9"/>
      <c r="P45" s="9"/>
      <c r="Q45" s="9"/>
      <c r="R45" s="9"/>
      <c r="S45" s="9"/>
      <c r="T45" s="9"/>
      <c r="U45" s="9"/>
      <c r="V45" s="9"/>
      <c r="W45" s="9"/>
    </row>
    <row r="46" spans="2:23">
      <c r="B46" s="1"/>
      <c r="C46" s="9"/>
      <c r="D46" s="9"/>
      <c r="E46" s="9"/>
      <c r="F46" s="9"/>
      <c r="G46" s="9"/>
      <c r="H46" s="9"/>
      <c r="I46" s="161"/>
      <c r="J46" s="9"/>
      <c r="K46" s="9"/>
      <c r="L46" s="9"/>
      <c r="M46" s="9"/>
      <c r="N46" s="9"/>
      <c r="O46" s="9"/>
      <c r="P46" s="9"/>
      <c r="Q46" s="9"/>
      <c r="R46" s="9"/>
      <c r="S46" s="9"/>
      <c r="T46" s="9"/>
      <c r="U46" s="9"/>
      <c r="V46" s="9"/>
      <c r="W46" s="9"/>
    </row>
    <row r="47" spans="2:23">
      <c r="B47" s="1"/>
      <c r="C47" s="9"/>
      <c r="D47" s="9"/>
      <c r="E47" s="9"/>
      <c r="F47" s="9"/>
      <c r="G47" s="162"/>
      <c r="H47" s="9"/>
      <c r="I47" s="161"/>
      <c r="J47" s="9"/>
      <c r="K47" s="9"/>
      <c r="L47" s="9"/>
      <c r="M47" s="9"/>
      <c r="N47" s="9"/>
      <c r="O47" s="9"/>
      <c r="P47" s="9"/>
      <c r="Q47" s="9"/>
      <c r="R47" s="9"/>
      <c r="S47" s="9"/>
      <c r="T47" s="9"/>
      <c r="U47" s="9"/>
      <c r="V47" s="9"/>
      <c r="W47" s="9"/>
    </row>
    <row r="48" spans="2:23">
      <c r="B48" s="1"/>
      <c r="C48" s="9"/>
      <c r="D48" s="9"/>
      <c r="E48" s="9"/>
      <c r="F48" s="9"/>
      <c r="G48" s="162"/>
      <c r="H48" s="9"/>
      <c r="I48" s="161"/>
      <c r="J48" s="9"/>
      <c r="K48" s="9"/>
      <c r="L48" s="9"/>
      <c r="M48" s="9"/>
      <c r="N48" s="9"/>
      <c r="O48" s="9"/>
      <c r="P48" s="9"/>
      <c r="Q48" s="9"/>
      <c r="R48" s="9"/>
      <c r="S48" s="9"/>
      <c r="T48" s="9"/>
      <c r="U48" s="9"/>
      <c r="V48" s="9"/>
      <c r="W48" s="9"/>
    </row>
    <row r="49" spans="2:23">
      <c r="B49" s="1"/>
      <c r="C49" s="9"/>
      <c r="D49" s="9"/>
      <c r="E49" s="9"/>
      <c r="F49" s="163"/>
      <c r="G49" s="162"/>
      <c r="H49" s="9"/>
      <c r="I49" s="161"/>
      <c r="J49" s="9"/>
      <c r="K49" s="9"/>
      <c r="L49" s="9"/>
      <c r="M49" s="9"/>
      <c r="N49" s="9"/>
      <c r="O49" s="9"/>
      <c r="P49" s="9"/>
      <c r="Q49" s="9"/>
      <c r="R49" s="9"/>
      <c r="S49" s="9"/>
      <c r="T49" s="9"/>
      <c r="U49" s="9"/>
      <c r="V49" s="9"/>
      <c r="W49" s="9"/>
    </row>
    <row r="50" spans="2:23">
      <c r="B50" s="1"/>
      <c r="C50" s="9"/>
      <c r="D50" s="9"/>
      <c r="E50" s="9"/>
      <c r="F50" s="9"/>
      <c r="G50" s="9"/>
      <c r="H50" s="9"/>
      <c r="I50" s="161"/>
      <c r="J50" s="9"/>
      <c r="K50" s="9"/>
      <c r="L50" s="9"/>
      <c r="M50" s="9"/>
      <c r="N50" s="9"/>
      <c r="O50" s="9"/>
      <c r="P50" s="9"/>
      <c r="Q50" s="9"/>
      <c r="R50" s="9"/>
      <c r="S50" s="9"/>
      <c r="T50" s="9"/>
      <c r="U50" s="9"/>
      <c r="V50" s="9"/>
      <c r="W50" s="9"/>
    </row>
    <row r="51" spans="2:23">
      <c r="B51" s="1"/>
      <c r="C51" s="9"/>
      <c r="D51" s="9"/>
      <c r="E51" s="9"/>
      <c r="F51" s="9"/>
      <c r="G51" s="9"/>
      <c r="H51" s="9"/>
      <c r="I51" s="161"/>
      <c r="J51" s="9"/>
      <c r="K51" s="9"/>
      <c r="L51" s="9"/>
      <c r="M51" s="9"/>
      <c r="N51" s="9"/>
      <c r="O51" s="9"/>
      <c r="P51" s="9"/>
      <c r="Q51" s="9"/>
      <c r="R51" s="9"/>
      <c r="S51" s="9"/>
      <c r="T51" s="9"/>
      <c r="U51" s="9"/>
      <c r="V51" s="9"/>
      <c r="W51" s="9"/>
    </row>
    <row r="52" spans="2:23">
      <c r="B52" s="1"/>
      <c r="C52" s="9"/>
      <c r="D52" s="9"/>
      <c r="E52" s="9"/>
      <c r="F52" s="9"/>
      <c r="G52" s="9"/>
      <c r="H52" s="9"/>
      <c r="I52" s="161"/>
      <c r="J52" s="9"/>
      <c r="K52" s="9"/>
      <c r="L52" s="9"/>
      <c r="M52" s="9"/>
      <c r="N52" s="9"/>
      <c r="O52" s="9"/>
      <c r="P52" s="9"/>
      <c r="Q52" s="9"/>
      <c r="R52" s="9"/>
      <c r="S52" s="9"/>
      <c r="T52" s="9"/>
      <c r="U52" s="9"/>
      <c r="V52" s="9"/>
      <c r="W52" s="9"/>
    </row>
    <row r="53" spans="2:23">
      <c r="B53" s="1"/>
      <c r="C53" s="9"/>
      <c r="D53" s="9"/>
      <c r="E53" s="9"/>
      <c r="F53" s="9"/>
      <c r="G53" s="9"/>
      <c r="H53" s="9"/>
      <c r="I53" s="9"/>
      <c r="J53" s="9"/>
      <c r="K53" s="9"/>
      <c r="L53" s="9"/>
      <c r="M53" s="9"/>
      <c r="N53" s="9"/>
      <c r="O53" s="9"/>
      <c r="P53" s="9"/>
      <c r="Q53" s="9"/>
      <c r="R53" s="9"/>
      <c r="S53" s="9"/>
      <c r="T53" s="9"/>
      <c r="U53" s="9"/>
      <c r="V53" s="9"/>
      <c r="W53" s="9"/>
    </row>
    <row r="54" spans="2:23">
      <c r="B54" s="1"/>
      <c r="C54" s="9"/>
      <c r="D54" s="9"/>
      <c r="E54" s="9"/>
      <c r="F54" s="9"/>
      <c r="G54" s="9"/>
      <c r="H54" s="9"/>
      <c r="I54" s="9"/>
      <c r="J54" s="9"/>
      <c r="K54" s="9"/>
      <c r="L54" s="9"/>
      <c r="M54" s="9"/>
      <c r="N54" s="9"/>
      <c r="O54" s="9"/>
      <c r="P54" s="9"/>
      <c r="Q54" s="9"/>
      <c r="R54" s="9"/>
      <c r="S54" s="9"/>
      <c r="T54" s="9"/>
      <c r="U54" s="9"/>
      <c r="V54" s="9"/>
      <c r="W54" s="9"/>
    </row>
    <row r="55" spans="2:23">
      <c r="B55" s="1"/>
      <c r="C55" s="9"/>
      <c r="D55" s="9"/>
      <c r="E55" s="9"/>
      <c r="F55" s="9"/>
      <c r="G55" s="9"/>
      <c r="H55" s="9"/>
      <c r="I55" s="9"/>
      <c r="J55" s="9"/>
      <c r="K55" s="9"/>
      <c r="L55" s="9"/>
      <c r="M55" s="9"/>
      <c r="N55" s="9"/>
      <c r="O55" s="9"/>
      <c r="P55" s="9"/>
      <c r="Q55" s="9"/>
      <c r="R55" s="9"/>
      <c r="S55" s="9"/>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sheetData>
  <mergeCells count="1">
    <mergeCell ref="O32:T32"/>
  </mergeCells>
  <printOptions horizontalCentered="1"/>
  <pageMargins left="0.25" right="0.25" top="1" bottom="1" header="0.65" footer="0.5"/>
  <pageSetup scale="69" orientation="landscape" horizontalDpi="1200" verticalDpi="1200" r:id="rId1"/>
  <headerFooter alignWithMargins="0">
    <oddHeader xml:space="preserve">&amp;R&amp;16AEP - SPP Formula Rate
Actual/Projected NITS Rates
Page: &amp;P of &amp;N
</oddHeader>
    <oddFooter xml:space="preserve">&amp;C &amp;R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P244"/>
  <sheetViews>
    <sheetView topLeftCell="A3" zoomScale="81" zoomScaleNormal="81" zoomScaleSheetLayoutView="93" zoomScalePageLayoutView="80" workbookViewId="0">
      <selection activeCell="D41" sqref="D41"/>
    </sheetView>
  </sheetViews>
  <sheetFormatPr defaultColWidth="9.1796875" defaultRowHeight="12.5"/>
  <cols>
    <col min="1" max="2" width="9.54296875" style="129" customWidth="1"/>
    <col min="3" max="3" width="50.54296875" style="20" customWidth="1"/>
    <col min="4" max="10" width="16.54296875" style="20" customWidth="1"/>
    <col min="11" max="11" width="13.81640625" style="20" customWidth="1"/>
    <col min="12" max="16384" width="9.1796875" style="20"/>
  </cols>
  <sheetData>
    <row r="1" spans="1:16" ht="15.5">
      <c r="A1" s="210"/>
    </row>
    <row r="2" spans="1:16" ht="17.5">
      <c r="A2" s="2289" t="str">
        <f>+'PSO TCOS'!F4</f>
        <v xml:space="preserve">AEP West SPP Member Operating Companies </v>
      </c>
      <c r="B2" s="2289"/>
      <c r="C2" s="2289"/>
      <c r="D2" s="2289"/>
      <c r="E2" s="2289"/>
      <c r="F2" s="2289"/>
      <c r="G2" s="2289"/>
      <c r="H2" s="2289"/>
      <c r="I2" s="2289"/>
      <c r="J2" s="2289"/>
      <c r="K2" s="128"/>
      <c r="L2" s="12"/>
      <c r="M2" s="12"/>
      <c r="N2" s="12"/>
      <c r="O2" s="12"/>
      <c r="P2" s="12"/>
    </row>
    <row r="3" spans="1:16" ht="17.5">
      <c r="A3" s="2290" t="str">
        <f>+'PSO WS A-1 - Plant'!A3</f>
        <v xml:space="preserve">Actual / Projected 2024 Rate Year Cost of Service Formula Rate </v>
      </c>
      <c r="B3" s="2290"/>
      <c r="C3" s="2290"/>
      <c r="D3" s="2290"/>
      <c r="E3" s="2290"/>
      <c r="F3" s="2290"/>
      <c r="G3" s="2290"/>
      <c r="H3" s="2290"/>
      <c r="I3" s="2290"/>
      <c r="J3" s="2290"/>
      <c r="K3" s="128"/>
      <c r="L3" s="12"/>
      <c r="M3" s="12"/>
      <c r="N3" s="12"/>
      <c r="O3" s="12"/>
      <c r="P3" s="12"/>
    </row>
    <row r="4" spans="1:16" ht="18">
      <c r="A4" s="2290" t="s">
        <v>530</v>
      </c>
      <c r="B4" s="2290"/>
      <c r="C4" s="2290"/>
      <c r="D4" s="2290"/>
      <c r="E4" s="2290"/>
      <c r="F4" s="2290"/>
      <c r="G4" s="2290"/>
      <c r="H4" s="2290"/>
      <c r="I4" s="2290"/>
      <c r="J4" s="2290"/>
    </row>
    <row r="5" spans="1:16" ht="18">
      <c r="A5" s="2291" t="str">
        <f>+'PSO TCOS'!F8</f>
        <v>PUBLIC SERVICE COMPANY OF OKLAHOMA</v>
      </c>
      <c r="B5" s="2291"/>
      <c r="C5" s="2291"/>
      <c r="D5" s="2291"/>
      <c r="E5" s="2291"/>
      <c r="F5" s="2291"/>
      <c r="G5" s="2291"/>
      <c r="H5" s="2291"/>
      <c r="I5" s="2291"/>
      <c r="J5" s="2291"/>
    </row>
    <row r="6" spans="1:16" ht="20">
      <c r="B6" s="130"/>
      <c r="C6" s="127"/>
      <c r="D6" s="127"/>
      <c r="E6" s="36"/>
      <c r="F6" s="127"/>
      <c r="G6" s="127"/>
      <c r="H6" s="127"/>
      <c r="I6" s="127"/>
      <c r="J6" s="36"/>
    </row>
    <row r="7" spans="1:16" ht="20">
      <c r="B7" s="130"/>
      <c r="C7" s="36" t="s">
        <v>254</v>
      </c>
      <c r="D7" s="127"/>
      <c r="E7" s="36"/>
      <c r="F7" s="127"/>
      <c r="G7" s="127"/>
      <c r="H7" s="127"/>
      <c r="I7" s="127"/>
      <c r="J7" s="127"/>
    </row>
    <row r="8" spans="1:16" ht="13">
      <c r="C8" s="131"/>
      <c r="G8" s="129"/>
      <c r="H8" s="129"/>
      <c r="I8" s="129"/>
    </row>
    <row r="9" spans="1:16" ht="13">
      <c r="B9" s="13" t="s">
        <v>301</v>
      </c>
      <c r="C9" s="13" t="s">
        <v>302</v>
      </c>
      <c r="D9" s="13" t="s">
        <v>303</v>
      </c>
      <c r="E9" s="13" t="s">
        <v>229</v>
      </c>
      <c r="F9" s="13" t="s">
        <v>230</v>
      </c>
      <c r="G9" s="13" t="s">
        <v>231</v>
      </c>
      <c r="H9" s="13" t="s">
        <v>236</v>
      </c>
      <c r="I9" s="13" t="s">
        <v>177</v>
      </c>
      <c r="J9" s="13" t="s">
        <v>73</v>
      </c>
    </row>
    <row r="10" spans="1:16" ht="13">
      <c r="E10" s="132" t="s">
        <v>254</v>
      </c>
      <c r="F10" s="15" t="s">
        <v>232</v>
      </c>
      <c r="G10" s="13" t="s">
        <v>158</v>
      </c>
      <c r="H10" s="13" t="s">
        <v>74</v>
      </c>
      <c r="I10" s="13" t="s">
        <v>254</v>
      </c>
      <c r="J10" s="13" t="s">
        <v>317</v>
      </c>
    </row>
    <row r="11" spans="1:16" ht="13">
      <c r="A11" s="13" t="s">
        <v>308</v>
      </c>
      <c r="C11" s="24"/>
      <c r="D11" s="13"/>
      <c r="E11" s="13" t="s">
        <v>254</v>
      </c>
      <c r="F11" s="13" t="s">
        <v>255</v>
      </c>
      <c r="G11" s="13" t="s">
        <v>193</v>
      </c>
      <c r="H11" s="13" t="s">
        <v>75</v>
      </c>
      <c r="I11" s="13" t="s">
        <v>300</v>
      </c>
      <c r="J11" s="13" t="s">
        <v>72</v>
      </c>
    </row>
    <row r="12" spans="1:16" ht="13">
      <c r="A12" s="16" t="s">
        <v>257</v>
      </c>
      <c r="B12" s="16" t="s">
        <v>235</v>
      </c>
      <c r="C12" s="16" t="s">
        <v>306</v>
      </c>
      <c r="D12" s="16" t="s">
        <v>233</v>
      </c>
      <c r="E12" s="16" t="s">
        <v>76</v>
      </c>
      <c r="F12" s="16" t="s">
        <v>194</v>
      </c>
      <c r="G12" s="16" t="s">
        <v>194</v>
      </c>
      <c r="H12" s="16" t="s">
        <v>77</v>
      </c>
      <c r="I12" s="16" t="s">
        <v>194</v>
      </c>
      <c r="J12" s="16" t="s">
        <v>1268</v>
      </c>
    </row>
    <row r="13" spans="1:16" ht="13">
      <c r="C13" s="131"/>
      <c r="G13" s="129"/>
      <c r="H13" s="129"/>
      <c r="I13" s="129"/>
    </row>
    <row r="14" spans="1:16" ht="12.75" customHeight="1">
      <c r="C14" s="24"/>
      <c r="G14" s="129"/>
      <c r="H14" s="129"/>
      <c r="I14" s="129"/>
    </row>
    <row r="15" spans="1:16" ht="12.75" customHeight="1">
      <c r="B15" s="141" t="s">
        <v>504</v>
      </c>
      <c r="C15" s="24"/>
      <c r="G15" s="129"/>
      <c r="H15" s="129"/>
      <c r="I15" s="129"/>
    </row>
    <row r="16" spans="1:16" ht="12.75" customHeight="1">
      <c r="C16" s="24"/>
      <c r="G16" s="129"/>
      <c r="H16" s="129"/>
      <c r="I16" s="129"/>
    </row>
    <row r="17" spans="1:11" ht="15.5">
      <c r="C17" s="142" t="s">
        <v>506</v>
      </c>
    </row>
    <row r="18" spans="1:11" ht="6" customHeight="1">
      <c r="C18" s="29"/>
    </row>
    <row r="19" spans="1:11" ht="12.75" customHeight="1">
      <c r="A19" s="129">
        <v>1</v>
      </c>
      <c r="B19" s="133" t="s">
        <v>80</v>
      </c>
      <c r="C19" s="31" t="str">
        <f>""&amp;'PSO TCOS'!N2&amp;" Year End Tax Deferrals - WS C-1"</f>
        <v>2024 Year End Tax Deferrals - WS C-1</v>
      </c>
      <c r="D19" s="756">
        <f>+'PSO WS C-1 ADIT EOY'!H29-1</f>
        <v>-1115054361.3299999</v>
      </c>
      <c r="E19" s="756">
        <f>+'PSO WS C-1 ADIT EOY'!J29</f>
        <v>-210425487.08930409</v>
      </c>
      <c r="F19" s="756">
        <f>+'PSO WS C-1 ADIT EOY'!K29</f>
        <v>-37584825.551626742</v>
      </c>
      <c r="G19" s="756">
        <f>+'PSO WS C-1 ADIT EOY'!L29</f>
        <v>-874969653.71906924</v>
      </c>
      <c r="H19" s="756">
        <f>+'PSO WS C-1 ADIT EOY'!M29</f>
        <v>0</v>
      </c>
      <c r="I19" s="756">
        <f>+'PSO WS C-1 ADIT EOY'!N29</f>
        <v>7925606.0300000003</v>
      </c>
      <c r="J19" s="757"/>
      <c r="K19" s="20" t="s">
        <v>1520</v>
      </c>
    </row>
    <row r="20" spans="1:11" ht="12.75" customHeight="1">
      <c r="A20" s="129">
        <f>+A19+1</f>
        <v>2</v>
      </c>
      <c r="B20" s="133" t="s">
        <v>80</v>
      </c>
      <c r="C20" s="31" t="str">
        <f>""&amp;'PSO TCOS'!N2-1&amp;" Year End Tax Deferrals - WS C-2"</f>
        <v>2023 Year End Tax Deferrals - WS C-2</v>
      </c>
      <c r="D20" s="756">
        <f>+'PSO WS C-2 ADIT BOY'!H31</f>
        <v>-1102152242.4900002</v>
      </c>
      <c r="E20" s="756">
        <f>+'PSO WS C-2 ADIT BOY'!J31</f>
        <v>-256402887.4081471</v>
      </c>
      <c r="F20" s="756">
        <f>+'PSO WS C-2 ADIT BOY'!K31</f>
        <v>-38370605.800629482</v>
      </c>
      <c r="G20" s="756">
        <f>+'PSO WS C-2 ADIT BOY'!L31</f>
        <v>-815302674.0512234</v>
      </c>
      <c r="H20" s="756">
        <f>+'PSO WS C-2 ADIT BOY'!M31</f>
        <v>0</v>
      </c>
      <c r="I20" s="756">
        <f>+'PSO WS C-2 ADIT BOY'!N31</f>
        <v>7923924.7699999996</v>
      </c>
      <c r="J20" s="129"/>
      <c r="K20" s="20" t="s">
        <v>1521</v>
      </c>
    </row>
    <row r="21" spans="1:11" ht="12.75" customHeight="1">
      <c r="B21" s="135" t="s">
        <v>254</v>
      </c>
      <c r="D21" s="758"/>
      <c r="E21" s="759"/>
      <c r="F21" s="758"/>
      <c r="G21" s="758" t="s">
        <v>254</v>
      </c>
      <c r="H21" s="758"/>
      <c r="I21" s="758"/>
    </row>
    <row r="22" spans="1:11" ht="12.75" customHeight="1">
      <c r="A22" s="129">
        <f>+A20+1</f>
        <v>3</v>
      </c>
      <c r="C22" s="24" t="s">
        <v>78</v>
      </c>
      <c r="D22" s="756">
        <f t="shared" ref="D22:I22" si="0">D19+D20</f>
        <v>-2217206603.8200002</v>
      </c>
      <c r="E22" s="756">
        <f t="shared" si="0"/>
        <v>-466828374.49745119</v>
      </c>
      <c r="F22" s="756">
        <f t="shared" si="0"/>
        <v>-75955431.352256224</v>
      </c>
      <c r="G22" s="756">
        <f t="shared" si="0"/>
        <v>-1690272327.7702928</v>
      </c>
      <c r="H22" s="756">
        <f t="shared" si="0"/>
        <v>0</v>
      </c>
      <c r="I22" s="756">
        <f t="shared" si="0"/>
        <v>15849530.800000001</v>
      </c>
      <c r="J22" s="760"/>
    </row>
    <row r="23" spans="1:11" ht="12.75" customHeight="1">
      <c r="A23" s="129">
        <f>+A22+1</f>
        <v>4</v>
      </c>
      <c r="C23" s="24" t="s">
        <v>641</v>
      </c>
      <c r="D23" s="761">
        <f t="shared" ref="D23:I23" si="1">D22/2</f>
        <v>-1108603301.9100001</v>
      </c>
      <c r="E23" s="761">
        <f t="shared" si="1"/>
        <v>-233414187.24872559</v>
      </c>
      <c r="F23" s="761">
        <f t="shared" si="1"/>
        <v>-37977715.676128112</v>
      </c>
      <c r="G23" s="761">
        <f t="shared" si="1"/>
        <v>-845136163.88514638</v>
      </c>
      <c r="H23" s="31">
        <f t="shared" si="1"/>
        <v>0</v>
      </c>
      <c r="I23" s="756">
        <f t="shared" si="1"/>
        <v>7924765.4000000004</v>
      </c>
      <c r="J23" s="760"/>
    </row>
    <row r="24" spans="1:11" ht="12.75" customHeight="1">
      <c r="A24" s="129">
        <f>+A23+1</f>
        <v>5</v>
      </c>
      <c r="B24" s="177"/>
      <c r="C24" s="292" t="str">
        <f>"Proration Adjustment - WS C-3, Ln "&amp;'PSO WS C-3 ADIT Proration'!A34</f>
        <v>Proration Adjustment - WS C-3, Ln 19</v>
      </c>
      <c r="D24" s="761"/>
      <c r="E24" s="761"/>
      <c r="F24" s="761"/>
      <c r="G24" s="761">
        <f>'PSO WS C-3 ADIT Proration'!I34</f>
        <v>0</v>
      </c>
      <c r="H24" s="31"/>
      <c r="I24" s="762"/>
      <c r="J24" s="760"/>
    </row>
    <row r="25" spans="1:11" ht="12.75" customHeight="1">
      <c r="A25" s="129">
        <f>+A24+1</f>
        <v>6</v>
      </c>
      <c r="C25" s="24" t="s">
        <v>526</v>
      </c>
      <c r="D25" s="763">
        <f t="shared" ref="D25:I25" si="2">+D23+D24</f>
        <v>-1108603301.9100001</v>
      </c>
      <c r="E25" s="763">
        <f t="shared" si="2"/>
        <v>-233414187.24872559</v>
      </c>
      <c r="F25" s="763">
        <f t="shared" si="2"/>
        <v>-37977715.676128112</v>
      </c>
      <c r="G25" s="763">
        <f t="shared" si="2"/>
        <v>-845136163.88514638</v>
      </c>
      <c r="H25" s="763">
        <f t="shared" si="2"/>
        <v>0</v>
      </c>
      <c r="I25" s="763">
        <f t="shared" si="2"/>
        <v>7924765.4000000004</v>
      </c>
      <c r="J25" s="760"/>
    </row>
    <row r="26" spans="1:11" ht="12.75" customHeight="1">
      <c r="A26" s="129">
        <f>+A25+1</f>
        <v>7</v>
      </c>
      <c r="B26" s="136"/>
      <c r="C26" s="134" t="s">
        <v>642</v>
      </c>
      <c r="D26" s="764"/>
      <c r="E26" s="765">
        <v>0</v>
      </c>
      <c r="F26" s="765">
        <v>1</v>
      </c>
      <c r="G26" s="765">
        <f>'PSO TCOS'!J63</f>
        <v>0.13141533783267259</v>
      </c>
      <c r="H26" s="765">
        <f>'PSO TCOS'!J64</f>
        <v>0.2619019940632924</v>
      </c>
      <c r="I26" s="765">
        <f>'PSO TCOS'!L221</f>
        <v>7.6073912292131618E-2</v>
      </c>
      <c r="K26" s="20" t="s">
        <v>1522</v>
      </c>
    </row>
    <row r="27" spans="1:11" ht="12.75" customHeight="1">
      <c r="A27" s="129">
        <f>+A26+1</f>
        <v>8</v>
      </c>
      <c r="C27" s="24" t="s">
        <v>79</v>
      </c>
      <c r="E27" s="760">
        <f>E26*E25</f>
        <v>0</v>
      </c>
      <c r="F27" s="760">
        <f>F26*F25</f>
        <v>-37977715.676128112</v>
      </c>
      <c r="G27" s="760">
        <f>G26*G25</f>
        <v>-111063854.49157546</v>
      </c>
      <c r="H27" s="760">
        <f>H26*H25</f>
        <v>0</v>
      </c>
      <c r="I27" s="760">
        <f>I26*I25</f>
        <v>602867.90797531942</v>
      </c>
      <c r="J27" s="766">
        <f>SUM(F27:I27)</f>
        <v>-148438702.25972825</v>
      </c>
    </row>
    <row r="28" spans="1:11" ht="12.75" customHeight="1">
      <c r="C28" s="29"/>
    </row>
    <row r="29" spans="1:11" ht="12.75" customHeight="1">
      <c r="C29" s="29"/>
    </row>
    <row r="30" spans="1:11" ht="12.75" customHeight="1">
      <c r="C30" s="142" t="s">
        <v>507</v>
      </c>
    </row>
    <row r="31" spans="1:11" ht="6" customHeight="1">
      <c r="C31" s="29"/>
    </row>
    <row r="32" spans="1:11" ht="12.75" customHeight="1">
      <c r="A32" s="129">
        <f>+A27:B27+1</f>
        <v>9</v>
      </c>
      <c r="B32" s="133" t="s">
        <v>91</v>
      </c>
      <c r="C32" s="31" t="str">
        <f>+C19</f>
        <v>2024 Year End Tax Deferrals - WS C-1</v>
      </c>
      <c r="D32" s="756">
        <f>+'PSO WS C-1 ADIT EOY'!H148</f>
        <v>-305950466.66000009</v>
      </c>
      <c r="E32" s="756">
        <f>+'PSO WS C-1 ADIT EOY'!J148</f>
        <v>-50820053.540000014</v>
      </c>
      <c r="F32" s="756">
        <f>+'PSO WS C-1 ADIT EOY'!K148</f>
        <v>0</v>
      </c>
      <c r="G32" s="756">
        <f>+'PSO WS C-1 ADIT EOY'!L148</f>
        <v>-232491909.51999998</v>
      </c>
      <c r="H32" s="756">
        <f>+'PSO WS C-1 ADIT EOY'!M148</f>
        <v>0</v>
      </c>
      <c r="I32" s="756">
        <f>+'PSO WS C-1 ADIT EOY'!N148</f>
        <v>-22638503.599999998</v>
      </c>
      <c r="J32" s="757"/>
      <c r="K32" s="20" t="s">
        <v>1523</v>
      </c>
    </row>
    <row r="33" spans="1:11" ht="12.75" customHeight="1">
      <c r="A33" s="129">
        <f>+A32+1</f>
        <v>10</v>
      </c>
      <c r="B33" s="133" t="s">
        <v>91</v>
      </c>
      <c r="C33" s="31" t="str">
        <f>+C20</f>
        <v>2023 Year End Tax Deferrals - WS C-2</v>
      </c>
      <c r="D33" s="756">
        <f>+'PSO WS C-2 ADIT BOY'!H147</f>
        <v>-295008067.64000005</v>
      </c>
      <c r="E33" s="756">
        <f>+'PSO WS C-2 ADIT BOY'!J147</f>
        <v>-47935137.589999996</v>
      </c>
      <c r="F33" s="756">
        <f>+'PSO WS C-2 ADIT BOY'!K147</f>
        <v>0</v>
      </c>
      <c r="G33" s="756">
        <f>+'PSO WS C-2 ADIT BOY'!L147</f>
        <v>-225467409.62</v>
      </c>
      <c r="H33" s="756">
        <f>+'PSO WS C-2 ADIT BOY'!M147</f>
        <v>0</v>
      </c>
      <c r="I33" s="756">
        <f>+'PSO WS C-2 ADIT BOY'!N147</f>
        <v>-21605520.43</v>
      </c>
      <c r="J33" s="129"/>
      <c r="K33" s="20" t="s">
        <v>1524</v>
      </c>
    </row>
    <row r="34" spans="1:11" ht="12.75" customHeight="1">
      <c r="B34" s="135" t="s">
        <v>254</v>
      </c>
      <c r="D34" s="758"/>
      <c r="E34" s="759"/>
      <c r="F34" s="758"/>
      <c r="G34" s="758" t="s">
        <v>254</v>
      </c>
      <c r="H34" s="758"/>
      <c r="I34" s="758"/>
    </row>
    <row r="35" spans="1:11" ht="12.75" customHeight="1">
      <c r="A35" s="129">
        <f>+A33+1</f>
        <v>11</v>
      </c>
      <c r="C35" s="24" t="s">
        <v>78</v>
      </c>
      <c r="D35" s="756">
        <f t="shared" ref="D35:I35" si="3">D32+D33</f>
        <v>-600958534.30000019</v>
      </c>
      <c r="E35" s="756">
        <f t="shared" si="3"/>
        <v>-98755191.13000001</v>
      </c>
      <c r="F35" s="756">
        <f t="shared" si="3"/>
        <v>0</v>
      </c>
      <c r="G35" s="756">
        <f t="shared" si="3"/>
        <v>-457959319.13999999</v>
      </c>
      <c r="H35" s="756">
        <f t="shared" si="3"/>
        <v>0</v>
      </c>
      <c r="I35" s="756">
        <f t="shared" si="3"/>
        <v>-44244024.030000001</v>
      </c>
      <c r="J35" s="760"/>
    </row>
    <row r="36" spans="1:11" ht="12.75" customHeight="1">
      <c r="A36" s="129">
        <f>+A35+1</f>
        <v>12</v>
      </c>
      <c r="C36" s="24" t="s">
        <v>352</v>
      </c>
      <c r="D36" s="761">
        <f t="shared" ref="D36:I36" si="4">D35/2</f>
        <v>-300479267.1500001</v>
      </c>
      <c r="E36" s="761">
        <f t="shared" si="4"/>
        <v>-49377595.565000005</v>
      </c>
      <c r="F36" s="761">
        <f t="shared" si="4"/>
        <v>0</v>
      </c>
      <c r="G36" s="761">
        <f t="shared" si="4"/>
        <v>-228979659.56999999</v>
      </c>
      <c r="H36" s="761">
        <f t="shared" si="4"/>
        <v>0</v>
      </c>
      <c r="I36" s="761">
        <f t="shared" si="4"/>
        <v>-22122012.015000001</v>
      </c>
      <c r="J36" s="760"/>
    </row>
    <row r="37" spans="1:11" ht="12.75" customHeight="1">
      <c r="A37" s="129">
        <f>+A36+1</f>
        <v>13</v>
      </c>
      <c r="B37" s="136"/>
      <c r="C37" s="134" t="s">
        <v>643</v>
      </c>
      <c r="D37" s="764"/>
      <c r="E37" s="765">
        <f>E26</f>
        <v>0</v>
      </c>
      <c r="F37" s="765">
        <f>F26</f>
        <v>1</v>
      </c>
      <c r="G37" s="765">
        <f>G26</f>
        <v>0.13141533783267259</v>
      </c>
      <c r="H37" s="765">
        <f>H26</f>
        <v>0.2619019940632924</v>
      </c>
      <c r="I37" s="765">
        <f>I26</f>
        <v>7.6073912292131618E-2</v>
      </c>
    </row>
    <row r="38" spans="1:11" ht="12.75" customHeight="1">
      <c r="A38" s="129">
        <f>+A37+1</f>
        <v>14</v>
      </c>
      <c r="C38" s="24" t="s">
        <v>79</v>
      </c>
      <c r="E38" s="760">
        <f>E36*E37</f>
        <v>0</v>
      </c>
      <c r="F38" s="760">
        <f>F36*F37</f>
        <v>0</v>
      </c>
      <c r="G38" s="760">
        <f>G36*G37</f>
        <v>-30091439.319201909</v>
      </c>
      <c r="H38" s="760">
        <f>H36*H37</f>
        <v>0</v>
      </c>
      <c r="I38" s="760">
        <f>I36*I37</f>
        <v>-1682908.0017545919</v>
      </c>
      <c r="J38" s="766">
        <f>SUM(F38:I38)</f>
        <v>-31774347.320956502</v>
      </c>
    </row>
    <row r="39" spans="1:11" ht="12.75" customHeight="1">
      <c r="C39" s="29"/>
    </row>
    <row r="40" spans="1:11" ht="12.75" customHeight="1">
      <c r="B40" s="25"/>
      <c r="C40" s="126"/>
      <c r="D40" s="126"/>
      <c r="E40" s="126"/>
      <c r="F40" s="126"/>
      <c r="G40" s="126"/>
      <c r="H40" s="126"/>
      <c r="I40" s="126"/>
      <c r="J40" s="126"/>
    </row>
    <row r="41" spans="1:11" ht="12.75" customHeight="1">
      <c r="C41" s="24"/>
      <c r="E41" s="760"/>
      <c r="F41" s="760"/>
      <c r="G41" s="760"/>
      <c r="H41" s="760"/>
      <c r="I41" s="760"/>
      <c r="J41" s="760"/>
    </row>
    <row r="42" spans="1:11" ht="15.5">
      <c r="C42" s="142" t="s">
        <v>505</v>
      </c>
    </row>
    <row r="43" spans="1:11" ht="12.75" customHeight="1">
      <c r="D43"/>
      <c r="I43" s="767"/>
    </row>
    <row r="44" spans="1:11" ht="12.75" customHeight="1">
      <c r="A44" s="129">
        <f>+A38+1</f>
        <v>15</v>
      </c>
      <c r="B44" s="137">
        <v>190.1</v>
      </c>
      <c r="C44" s="31" t="str">
        <f>+C19</f>
        <v>2024 Year End Tax Deferrals - WS C-1</v>
      </c>
      <c r="D44" s="756">
        <f>+'PSO WS C-1 ADIT EOY'!H237</f>
        <v>193990949.5</v>
      </c>
      <c r="E44" s="756">
        <f>+'PSO WS C-1 ADIT EOY'!J237</f>
        <v>-36137028.989621855</v>
      </c>
      <c r="F44" s="756">
        <f>+'PSO WS C-1 ADIT EOY'!K237</f>
        <v>0</v>
      </c>
      <c r="G44" s="756">
        <f>+'PSO WS C-1 ADIT EOY'!L237</f>
        <v>226284824.95962185</v>
      </c>
      <c r="H44" s="756">
        <f>+'PSO WS C-1 ADIT EOY'!M237</f>
        <v>0</v>
      </c>
      <c r="I44" s="756">
        <f>+'PSO WS C-1 ADIT EOY'!N237</f>
        <v>3843153.5300000003</v>
      </c>
      <c r="J44" s="757"/>
      <c r="K44" s="20" t="s">
        <v>1525</v>
      </c>
    </row>
    <row r="45" spans="1:11">
      <c r="A45" s="129">
        <f>+A44+1</f>
        <v>16</v>
      </c>
      <c r="B45" s="137">
        <v>190.1</v>
      </c>
      <c r="C45" s="31" t="str">
        <f>+C20</f>
        <v>2023 Year End Tax Deferrals - WS C-2</v>
      </c>
      <c r="D45" s="756">
        <f>+'PSO WS C-2 ADIT BOY'!H234</f>
        <v>192021953.25</v>
      </c>
      <c r="E45" s="756">
        <f>+'PSO WS C-2 ADIT BOY'!J234</f>
        <v>-33485052.696524419</v>
      </c>
      <c r="F45" s="756">
        <f>+'PSO WS C-2 ADIT BOY'!K234</f>
        <v>0</v>
      </c>
      <c r="G45" s="756">
        <f>+'PSO WS C-2 ADIT BOY'!L234</f>
        <v>222992397.43652442</v>
      </c>
      <c r="H45" s="756">
        <f>+'PSO WS C-2 ADIT BOY'!M234</f>
        <v>0</v>
      </c>
      <c r="I45" s="756">
        <f>+'PSO WS C-2 ADIT BOY'!N234</f>
        <v>2514608.5099999998</v>
      </c>
      <c r="J45" s="129"/>
      <c r="K45" s="20" t="s">
        <v>1526</v>
      </c>
    </row>
    <row r="46" spans="1:11" ht="13">
      <c r="B46" s="135" t="s">
        <v>254</v>
      </c>
      <c r="D46" s="758"/>
      <c r="E46" s="759"/>
      <c r="F46" s="758"/>
      <c r="G46" s="758" t="s">
        <v>254</v>
      </c>
      <c r="H46" s="758"/>
      <c r="I46" s="758"/>
    </row>
    <row r="47" spans="1:11" ht="13">
      <c r="A47" s="129">
        <f>+A45+1</f>
        <v>17</v>
      </c>
      <c r="C47" s="24" t="s">
        <v>78</v>
      </c>
      <c r="D47" s="756">
        <f t="shared" ref="D47:I47" si="5">D44+D45</f>
        <v>386012902.75</v>
      </c>
      <c r="E47" s="756">
        <f t="shared" si="5"/>
        <v>-69622081.686146274</v>
      </c>
      <c r="F47" s="756">
        <f t="shared" si="5"/>
        <v>0</v>
      </c>
      <c r="G47" s="756">
        <f t="shared" si="5"/>
        <v>449277222.3961463</v>
      </c>
      <c r="H47" s="756">
        <f t="shared" si="5"/>
        <v>0</v>
      </c>
      <c r="I47" s="756">
        <f t="shared" si="5"/>
        <v>6357762.04</v>
      </c>
      <c r="J47" s="760"/>
    </row>
    <row r="48" spans="1:11" ht="13">
      <c r="A48" s="129">
        <f>+A47+1</f>
        <v>18</v>
      </c>
      <c r="C48" s="24" t="s">
        <v>641</v>
      </c>
      <c r="D48" s="31">
        <f t="shared" ref="D48:I48" si="6">D47/2</f>
        <v>193006451.375</v>
      </c>
      <c r="E48" s="761">
        <f t="shared" si="6"/>
        <v>-34811040.843073137</v>
      </c>
      <c r="F48" s="31">
        <f t="shared" si="6"/>
        <v>0</v>
      </c>
      <c r="G48" s="31">
        <f t="shared" si="6"/>
        <v>224638611.19807315</v>
      </c>
      <c r="H48" s="31">
        <f t="shared" si="6"/>
        <v>0</v>
      </c>
      <c r="I48" s="31">
        <f t="shared" si="6"/>
        <v>3178881.02</v>
      </c>
      <c r="J48" s="760"/>
    </row>
    <row r="49" spans="1:10" ht="13">
      <c r="A49" s="129">
        <f>+A48+1</f>
        <v>19</v>
      </c>
      <c r="C49" s="292" t="str">
        <f>"Proration Adjustment - WS C-3, Ln "&amp;'PSO WS C-3 ADIT Proration'!A60</f>
        <v>Proration Adjustment - WS C-3, Ln 38</v>
      </c>
      <c r="D49" s="761"/>
      <c r="E49" s="761"/>
      <c r="F49" s="761">
        <f>+'PSO WS C-3 ADIT Proration'!I60</f>
        <v>0</v>
      </c>
      <c r="G49" s="761"/>
      <c r="H49" s="31"/>
      <c r="I49" s="762"/>
      <c r="J49" s="760"/>
    </row>
    <row r="50" spans="1:10" ht="13">
      <c r="A50" s="129">
        <f>+A49+1</f>
        <v>20</v>
      </c>
      <c r="C50" s="24" t="s">
        <v>526</v>
      </c>
      <c r="D50" s="763">
        <f t="shared" ref="D50:I50" si="7">+D48+D49</f>
        <v>193006451.375</v>
      </c>
      <c r="E50" s="763">
        <f t="shared" si="7"/>
        <v>-34811040.843073137</v>
      </c>
      <c r="F50" s="763">
        <f t="shared" si="7"/>
        <v>0</v>
      </c>
      <c r="G50" s="763">
        <f t="shared" si="7"/>
        <v>224638611.19807315</v>
      </c>
      <c r="H50" s="763">
        <f t="shared" si="7"/>
        <v>0</v>
      </c>
      <c r="I50" s="763">
        <f t="shared" si="7"/>
        <v>3178881.02</v>
      </c>
      <c r="J50" s="760"/>
    </row>
    <row r="51" spans="1:10" ht="12.75" customHeight="1">
      <c r="A51" s="129">
        <f>+A50+1</f>
        <v>21</v>
      </c>
      <c r="B51" s="136"/>
      <c r="C51" s="134" t="s">
        <v>642</v>
      </c>
      <c r="D51" s="764"/>
      <c r="E51" s="765">
        <v>0</v>
      </c>
      <c r="F51" s="765">
        <v>1</v>
      </c>
      <c r="G51" s="765">
        <f>G37</f>
        <v>0.13141533783267259</v>
      </c>
      <c r="H51" s="765">
        <f>H37</f>
        <v>0.2619019940632924</v>
      </c>
      <c r="I51" s="765">
        <f>I37</f>
        <v>7.6073912292131618E-2</v>
      </c>
    </row>
    <row r="52" spans="1:10" ht="13">
      <c r="A52" s="129">
        <f>+A51+1</f>
        <v>22</v>
      </c>
      <c r="C52" s="24" t="s">
        <v>79</v>
      </c>
      <c r="E52" s="760">
        <f>E51*E50</f>
        <v>0</v>
      </c>
      <c r="F52" s="760">
        <f>F51*F50</f>
        <v>0</v>
      </c>
      <c r="G52" s="760">
        <f>G51*G50</f>
        <v>29520958.980857171</v>
      </c>
      <c r="H52" s="760">
        <f>H51*H50</f>
        <v>0</v>
      </c>
      <c r="I52" s="760">
        <f>I51*I50</f>
        <v>241829.9159026019</v>
      </c>
      <c r="J52" s="766">
        <f>SUM(F52:I52)</f>
        <v>29762788.896759775</v>
      </c>
    </row>
    <row r="53" spans="1:10" ht="13">
      <c r="I53" s="767"/>
    </row>
    <row r="54" spans="1:10" ht="13">
      <c r="E54" s="138"/>
      <c r="G54" s="2287" t="s">
        <v>71</v>
      </c>
      <c r="I54" s="767"/>
      <c r="J54" s="760" t="s">
        <v>254</v>
      </c>
    </row>
    <row r="55" spans="1:10" ht="15.5">
      <c r="C55" s="142" t="s">
        <v>81</v>
      </c>
      <c r="E55" s="138"/>
      <c r="G55" s="2288"/>
    </row>
    <row r="56" spans="1:10" ht="6.75" customHeight="1">
      <c r="C56" s="29"/>
      <c r="E56" s="138"/>
      <c r="G56" s="2288"/>
    </row>
    <row r="57" spans="1:10" ht="15.5">
      <c r="C57" s="144"/>
      <c r="D57"/>
      <c r="G57" s="2288"/>
    </row>
    <row r="58" spans="1:10">
      <c r="A58" s="129">
        <f>+A52+1</f>
        <v>23</v>
      </c>
      <c r="B58" s="139">
        <v>255</v>
      </c>
      <c r="C58" s="140" t="str">
        <f>"Acc Defrd ITC - Federal - 12/31/"&amp;'PSO TCOS'!N2&amp;" (FF1 p. 267, Ln 2.h)"</f>
        <v>Acc Defrd ITC - Federal - 12/31/2024 (FF1 p. 267, Ln 2.h)</v>
      </c>
      <c r="D58" s="768">
        <v>0</v>
      </c>
      <c r="E58" s="756"/>
      <c r="F58" s="756"/>
      <c r="G58" s="756">
        <v>0</v>
      </c>
      <c r="H58" s="756"/>
      <c r="I58" s="756"/>
      <c r="J58" s="757"/>
    </row>
    <row r="59" spans="1:10">
      <c r="A59" s="129">
        <f>+A58+1</f>
        <v>24</v>
      </c>
      <c r="B59" s="139">
        <v>255</v>
      </c>
      <c r="C59" s="140" t="str">
        <f>"Acc Defrd ITC - Federal - 12/31/"&amp;'PSO TCOS'!N2-1&amp;" (FF1 p. 266, Ln 2.b)"</f>
        <v>Acc Defrd ITC - Federal - 12/31/2023 (FF1 p. 266, Ln 2.b)</v>
      </c>
      <c r="D59" s="768">
        <v>0</v>
      </c>
      <c r="E59" s="756"/>
      <c r="F59" s="756"/>
      <c r="G59" s="756">
        <f>D59</f>
        <v>0</v>
      </c>
      <c r="H59" s="756"/>
      <c r="I59" s="756"/>
      <c r="J59" s="129"/>
    </row>
    <row r="60" spans="1:10" ht="13">
      <c r="B60" s="135" t="s">
        <v>254</v>
      </c>
      <c r="D60" s="758"/>
      <c r="E60" s="758"/>
      <c r="F60" s="758"/>
      <c r="G60" s="758" t="s">
        <v>254</v>
      </c>
      <c r="H60" s="758"/>
      <c r="I60" s="758"/>
    </row>
    <row r="61" spans="1:10" ht="13">
      <c r="A61" s="129">
        <f>+A59+1</f>
        <v>25</v>
      </c>
      <c r="C61" s="24" t="s">
        <v>78</v>
      </c>
      <c r="D61" s="756">
        <f>D58+D59</f>
        <v>0</v>
      </c>
      <c r="E61" s="756"/>
      <c r="F61" s="756"/>
      <c r="G61" s="756">
        <f>G58+G59</f>
        <v>0</v>
      </c>
      <c r="H61" s="756"/>
      <c r="I61" s="756"/>
      <c r="J61" s="760"/>
    </row>
    <row r="62" spans="1:10" ht="13">
      <c r="A62" s="129">
        <f>+A61+1</f>
        <v>26</v>
      </c>
      <c r="C62" s="24" t="s">
        <v>352</v>
      </c>
      <c r="D62" s="761">
        <f>D61/2</f>
        <v>0</v>
      </c>
      <c r="E62" s="761"/>
      <c r="F62" s="761"/>
      <c r="G62" s="761">
        <f>G61/2</f>
        <v>0</v>
      </c>
      <c r="H62" s="31"/>
      <c r="I62" s="31"/>
      <c r="J62" s="760"/>
    </row>
    <row r="63" spans="1:10" ht="12.75" customHeight="1">
      <c r="A63" s="129">
        <f>+A62+1</f>
        <v>27</v>
      </c>
      <c r="B63" s="136"/>
      <c r="C63" s="134" t="s">
        <v>642</v>
      </c>
      <c r="D63" s="764"/>
      <c r="E63" s="769"/>
      <c r="F63" s="769"/>
      <c r="G63" s="765">
        <f>G51</f>
        <v>0.13141533783267259</v>
      </c>
      <c r="H63" s="769"/>
      <c r="I63" s="769"/>
    </row>
    <row r="64" spans="1:10" ht="13">
      <c r="A64" s="129">
        <f>+A63+1</f>
        <v>28</v>
      </c>
      <c r="C64" s="24" t="s">
        <v>79</v>
      </c>
      <c r="E64" s="769" t="s">
        <v>16</v>
      </c>
      <c r="F64" s="769" t="s">
        <v>16</v>
      </c>
      <c r="G64" s="760">
        <f>G63*G62</f>
        <v>0</v>
      </c>
      <c r="H64" s="769" t="s">
        <v>16</v>
      </c>
      <c r="I64" s="769" t="s">
        <v>16</v>
      </c>
      <c r="J64" s="766">
        <f>SUM(F64:I64)</f>
        <v>0</v>
      </c>
    </row>
    <row r="65" spans="2:10" ht="12.75" customHeight="1">
      <c r="C65" s="29"/>
      <c r="E65" s="138"/>
      <c r="G65" s="138"/>
    </row>
    <row r="66" spans="2:10" ht="12.75" customHeight="1">
      <c r="C66" s="29"/>
      <c r="E66" s="138"/>
      <c r="G66" s="138"/>
    </row>
    <row r="67" spans="2:10" ht="12.75" customHeight="1">
      <c r="B67" s="49" t="s">
        <v>82</v>
      </c>
      <c r="C67" s="12" t="s">
        <v>83</v>
      </c>
      <c r="D67" s="12"/>
      <c r="E67" s="12"/>
      <c r="F67" s="12"/>
      <c r="G67" s="12"/>
      <c r="H67" s="12"/>
      <c r="I67" s="12"/>
      <c r="J67" s="12"/>
    </row>
    <row r="68" spans="2:10" ht="12.75" customHeight="1">
      <c r="B68" s="49"/>
      <c r="C68" s="12"/>
      <c r="D68" s="12"/>
      <c r="E68" s="12"/>
      <c r="F68" s="12"/>
      <c r="G68" s="12"/>
      <c r="H68" s="12"/>
      <c r="I68" s="12"/>
      <c r="J68" s="12"/>
    </row>
    <row r="69" spans="2:10" ht="12.75" customHeight="1">
      <c r="B69" s="49"/>
      <c r="C69" s="12"/>
      <c r="D69" s="12"/>
      <c r="E69" s="12"/>
      <c r="F69" s="12"/>
      <c r="G69" s="12"/>
      <c r="H69" s="12"/>
      <c r="I69" s="12"/>
      <c r="J69" s="12"/>
    </row>
    <row r="70" spans="2:10" ht="12.75" customHeight="1">
      <c r="B70" s="49"/>
      <c r="C70" s="12"/>
      <c r="D70" s="12"/>
      <c r="E70" s="12"/>
      <c r="F70" s="12"/>
      <c r="G70" s="12"/>
      <c r="H70" s="12"/>
      <c r="I70" s="12"/>
      <c r="J70" s="12"/>
    </row>
    <row r="71" spans="2:10" ht="12.75" customHeight="1">
      <c r="B71" s="49"/>
      <c r="C71" s="12"/>
      <c r="D71" s="12"/>
      <c r="E71" s="12"/>
      <c r="F71" s="12"/>
      <c r="G71" s="12"/>
      <c r="H71" s="12"/>
      <c r="I71" s="12"/>
      <c r="J71" s="12"/>
    </row>
    <row r="72" spans="2:10">
      <c r="B72" s="49"/>
      <c r="C72" s="12"/>
      <c r="D72" s="12"/>
      <c r="E72" s="12"/>
      <c r="F72" s="12"/>
      <c r="G72" s="12"/>
      <c r="H72" s="12"/>
      <c r="I72" s="12"/>
      <c r="J72" s="12"/>
    </row>
    <row r="73" spans="2:10">
      <c r="B73" s="49"/>
      <c r="C73" s="12"/>
      <c r="D73" s="12"/>
      <c r="E73" s="12"/>
      <c r="F73" s="12"/>
      <c r="G73" s="12"/>
      <c r="H73" s="12"/>
      <c r="I73" s="12"/>
      <c r="J73" s="12"/>
    </row>
    <row r="74" spans="2:10">
      <c r="B74" s="49"/>
      <c r="C74" s="12"/>
      <c r="D74" s="12"/>
      <c r="E74" s="12"/>
      <c r="F74" s="12"/>
      <c r="G74" s="12"/>
      <c r="H74" s="12"/>
      <c r="I74" s="12"/>
      <c r="J74" s="12"/>
    </row>
    <row r="75" spans="2:10">
      <c r="B75" s="49"/>
      <c r="C75" s="12"/>
      <c r="D75" s="12"/>
      <c r="E75" s="12"/>
      <c r="F75" s="12"/>
      <c r="G75" s="12"/>
      <c r="H75" s="12"/>
      <c r="I75" s="12"/>
      <c r="J75" s="12"/>
    </row>
    <row r="76" spans="2:10">
      <c r="B76" s="49"/>
      <c r="C76" s="12"/>
      <c r="D76" s="12"/>
      <c r="E76" s="12"/>
      <c r="F76" s="12"/>
      <c r="G76" s="12"/>
      <c r="H76" s="12"/>
      <c r="I76" s="12"/>
      <c r="J76" s="12" t="s">
        <v>254</v>
      </c>
    </row>
    <row r="77" spans="2:10">
      <c r="B77" s="49"/>
      <c r="C77" s="12"/>
      <c r="D77" s="12"/>
      <c r="E77" s="12"/>
      <c r="F77" s="12"/>
      <c r="G77" s="12"/>
      <c r="H77" s="12"/>
      <c r="I77" s="12"/>
      <c r="J77" s="12"/>
    </row>
    <row r="78" spans="2:10">
      <c r="B78" s="49"/>
      <c r="C78" s="12"/>
      <c r="D78" s="12"/>
      <c r="E78" s="12"/>
      <c r="F78" s="12"/>
      <c r="G78" s="12"/>
      <c r="H78" s="12"/>
      <c r="I78" s="12"/>
      <c r="J78" s="12"/>
    </row>
    <row r="79" spans="2:10">
      <c r="B79" s="49"/>
      <c r="C79" s="12"/>
      <c r="D79" s="12"/>
      <c r="E79" s="12"/>
      <c r="F79" s="12"/>
      <c r="G79" s="12"/>
      <c r="H79" s="12"/>
      <c r="I79" s="12"/>
      <c r="J79" s="12"/>
    </row>
    <row r="80" spans="2:10">
      <c r="B80" s="49"/>
      <c r="C80" s="12"/>
      <c r="D80" s="12"/>
      <c r="E80" s="12"/>
      <c r="F80" s="12"/>
      <c r="G80" s="12"/>
      <c r="H80" s="12"/>
      <c r="I80" s="12"/>
      <c r="J80" s="12"/>
    </row>
    <row r="81" spans="2:11">
      <c r="B81" s="49"/>
      <c r="C81" s="12"/>
      <c r="D81" s="12"/>
      <c r="E81" s="12"/>
      <c r="F81" s="12"/>
      <c r="G81" s="12"/>
      <c r="H81" s="12"/>
      <c r="I81" s="12"/>
      <c r="J81" s="12"/>
    </row>
    <row r="82" spans="2:11">
      <c r="B82" s="49"/>
      <c r="C82" s="12"/>
      <c r="D82" s="12"/>
      <c r="E82" s="12"/>
      <c r="F82" s="12"/>
      <c r="G82" s="12"/>
      <c r="H82" s="12"/>
      <c r="I82" s="12"/>
      <c r="J82" s="12"/>
    </row>
    <row r="83" spans="2:11">
      <c r="B83" s="49"/>
      <c r="C83" s="12"/>
      <c r="D83" s="12"/>
      <c r="E83" s="12"/>
      <c r="F83" s="12"/>
      <c r="G83" s="12"/>
      <c r="H83" s="12"/>
      <c r="I83" s="12"/>
      <c r="J83" s="12"/>
    </row>
    <row r="84" spans="2:11">
      <c r="B84" s="49"/>
      <c r="C84" s="12"/>
      <c r="D84" s="12"/>
      <c r="E84" s="12"/>
      <c r="F84" s="12"/>
      <c r="G84" s="12"/>
      <c r="H84" s="12"/>
      <c r="I84" s="12"/>
      <c r="J84" s="12"/>
      <c r="K84" s="12"/>
    </row>
    <row r="85" spans="2:11">
      <c r="B85" s="49"/>
      <c r="C85" s="12"/>
      <c r="D85" s="12"/>
      <c r="E85" s="12"/>
      <c r="F85" s="12"/>
      <c r="G85" s="12"/>
      <c r="H85" s="12"/>
      <c r="I85" s="12"/>
      <c r="J85" s="12"/>
      <c r="K85" s="12"/>
    </row>
    <row r="86" spans="2:11">
      <c r="B86" s="49"/>
      <c r="C86" s="12"/>
      <c r="D86" s="12"/>
      <c r="E86" s="12"/>
      <c r="F86" s="12"/>
      <c r="G86" s="12"/>
      <c r="H86" s="12"/>
      <c r="I86" s="12"/>
      <c r="J86" s="12"/>
      <c r="K86" s="12"/>
    </row>
    <row r="87" spans="2:11">
      <c r="B87" s="49"/>
      <c r="C87" s="12"/>
      <c r="D87" s="12"/>
      <c r="E87" s="12"/>
      <c r="F87" s="12"/>
      <c r="G87" s="12"/>
      <c r="H87" s="12"/>
      <c r="I87" s="12"/>
      <c r="J87" s="12"/>
      <c r="K87" s="12"/>
    </row>
    <row r="88" spans="2:11">
      <c r="B88" s="49"/>
      <c r="C88" s="12"/>
      <c r="D88" s="12"/>
      <c r="E88" s="12"/>
      <c r="F88" s="12"/>
      <c r="G88" s="12"/>
      <c r="H88" s="12"/>
      <c r="I88" s="12"/>
      <c r="J88" s="12"/>
      <c r="K88" s="12"/>
    </row>
    <row r="89" spans="2:11">
      <c r="B89" s="49"/>
      <c r="C89" s="12"/>
      <c r="D89" s="12"/>
      <c r="E89" s="12"/>
      <c r="F89" s="12"/>
      <c r="G89" s="12"/>
      <c r="H89" s="12"/>
      <c r="I89" s="12"/>
      <c r="J89" s="12"/>
      <c r="K89" s="12"/>
    </row>
    <row r="90" spans="2:11">
      <c r="B90" s="49"/>
      <c r="C90" s="12"/>
      <c r="D90" s="12"/>
      <c r="E90" s="12"/>
      <c r="F90" s="12"/>
      <c r="G90" s="12"/>
      <c r="H90" s="12"/>
      <c r="I90" s="12"/>
      <c r="J90" s="12"/>
      <c r="K90" s="12"/>
    </row>
    <row r="91" spans="2:11">
      <c r="B91" s="49"/>
      <c r="C91" s="12"/>
      <c r="D91" s="12"/>
      <c r="E91" s="12"/>
      <c r="F91" s="12"/>
      <c r="G91" s="12"/>
      <c r="H91" s="12"/>
      <c r="I91" s="12"/>
      <c r="J91" s="12"/>
      <c r="K91" s="12"/>
    </row>
    <row r="92" spans="2:11">
      <c r="B92" s="49"/>
      <c r="C92" s="12"/>
      <c r="D92" s="12"/>
      <c r="E92" s="12"/>
      <c r="F92" s="12"/>
      <c r="G92" s="12"/>
      <c r="H92" s="12"/>
      <c r="I92" s="12"/>
      <c r="J92" s="12"/>
      <c r="K92" s="12"/>
    </row>
    <row r="93" spans="2:11">
      <c r="B93" s="49"/>
      <c r="C93" s="12"/>
      <c r="D93" s="12"/>
      <c r="E93" s="12"/>
      <c r="F93" s="12"/>
      <c r="G93" s="12"/>
      <c r="H93" s="12"/>
      <c r="I93" s="12"/>
      <c r="J93" s="12"/>
      <c r="K93" s="12"/>
    </row>
    <row r="94" spans="2:11">
      <c r="B94" s="49"/>
      <c r="C94" s="12"/>
      <c r="D94" s="12"/>
      <c r="E94" s="12"/>
      <c r="F94" s="12"/>
      <c r="G94" s="12"/>
      <c r="H94" s="12"/>
      <c r="I94" s="12"/>
      <c r="J94" s="12"/>
      <c r="K94" s="12"/>
    </row>
    <row r="95" spans="2:11">
      <c r="B95" s="49"/>
      <c r="C95" s="12"/>
      <c r="D95" s="12"/>
      <c r="E95" s="12"/>
      <c r="F95" s="12"/>
      <c r="G95" s="12"/>
      <c r="H95" s="12"/>
      <c r="I95" s="12"/>
      <c r="J95" s="12"/>
      <c r="K95" s="12"/>
    </row>
    <row r="96" spans="2:11">
      <c r="B96" s="49"/>
      <c r="C96" s="12"/>
      <c r="D96" s="12"/>
      <c r="E96" s="12"/>
      <c r="F96" s="12"/>
      <c r="G96" s="12"/>
      <c r="H96" s="12"/>
      <c r="I96" s="12"/>
      <c r="J96" s="12"/>
      <c r="K96" s="12"/>
    </row>
    <row r="97" spans="2:11">
      <c r="B97" s="49"/>
      <c r="C97" s="12"/>
      <c r="D97" s="12"/>
      <c r="E97" s="12"/>
      <c r="F97" s="12"/>
      <c r="G97" s="12"/>
      <c r="H97" s="12"/>
      <c r="I97" s="12"/>
      <c r="J97" s="12"/>
      <c r="K97" s="12"/>
    </row>
    <row r="98" spans="2:11">
      <c r="B98" s="49"/>
      <c r="C98" s="12"/>
      <c r="D98" s="12"/>
      <c r="E98" s="12"/>
      <c r="F98" s="12"/>
      <c r="G98" s="12"/>
      <c r="H98" s="12"/>
      <c r="I98" s="12"/>
      <c r="J98" s="12"/>
      <c r="K98" s="12"/>
    </row>
    <row r="99" spans="2:11">
      <c r="B99" s="49"/>
      <c r="C99" s="12"/>
      <c r="D99" s="12"/>
      <c r="E99" s="12"/>
      <c r="F99" s="12"/>
      <c r="G99" s="12"/>
      <c r="H99" s="12"/>
      <c r="I99" s="12"/>
      <c r="J99" s="12"/>
      <c r="K99" s="12"/>
    </row>
    <row r="100" spans="2:11">
      <c r="B100" s="49"/>
      <c r="C100" s="12"/>
      <c r="D100" s="12"/>
      <c r="E100" s="12"/>
      <c r="F100" s="12"/>
      <c r="G100" s="12"/>
      <c r="H100" s="12"/>
      <c r="I100" s="12"/>
      <c r="J100" s="12"/>
      <c r="K100" s="12"/>
    </row>
    <row r="101" spans="2:11">
      <c r="B101" s="49"/>
      <c r="C101" s="12"/>
      <c r="D101" s="12"/>
      <c r="E101" s="12"/>
      <c r="F101" s="12"/>
      <c r="G101" s="12"/>
      <c r="H101" s="12"/>
      <c r="I101" s="12"/>
      <c r="J101" s="12"/>
      <c r="K101" s="12"/>
    </row>
    <row r="102" spans="2:11">
      <c r="B102" s="49"/>
      <c r="C102" s="12"/>
      <c r="D102" s="12"/>
      <c r="E102" s="12"/>
      <c r="F102" s="12"/>
      <c r="G102" s="12"/>
      <c r="H102" s="12"/>
      <c r="I102" s="12"/>
      <c r="J102" s="12"/>
      <c r="K102" s="12"/>
    </row>
    <row r="103" spans="2:11">
      <c r="B103" s="49"/>
      <c r="C103" s="12"/>
      <c r="D103" s="12"/>
      <c r="E103" s="12"/>
      <c r="F103" s="12"/>
      <c r="G103" s="12"/>
      <c r="H103" s="12"/>
      <c r="I103" s="12"/>
      <c r="J103" s="12"/>
      <c r="K103" s="12"/>
    </row>
    <row r="104" spans="2:11">
      <c r="B104" s="49"/>
      <c r="C104" s="12"/>
      <c r="D104" s="12"/>
      <c r="E104" s="12"/>
      <c r="F104" s="12"/>
      <c r="G104" s="12"/>
      <c r="H104" s="12"/>
      <c r="I104" s="12"/>
      <c r="J104" s="12"/>
      <c r="K104" s="12"/>
    </row>
    <row r="105" spans="2:11">
      <c r="B105" s="49"/>
      <c r="C105" s="12"/>
      <c r="D105" s="12"/>
      <c r="E105" s="12"/>
      <c r="F105" s="12"/>
      <c r="G105" s="12"/>
      <c r="H105" s="12"/>
      <c r="I105" s="12"/>
      <c r="J105" s="12"/>
      <c r="K105" s="12"/>
    </row>
    <row r="106" spans="2:11">
      <c r="B106" s="49"/>
      <c r="C106" s="12"/>
      <c r="D106" s="12"/>
      <c r="E106" s="12"/>
      <c r="F106" s="12"/>
      <c r="G106" s="12"/>
      <c r="H106" s="12"/>
      <c r="I106" s="12"/>
      <c r="J106" s="12"/>
      <c r="K106" s="12"/>
    </row>
    <row r="107" spans="2:11">
      <c r="B107" s="49"/>
      <c r="C107" s="12"/>
      <c r="D107" s="12"/>
      <c r="E107" s="12"/>
      <c r="F107" s="12"/>
      <c r="G107" s="12"/>
      <c r="H107" s="12"/>
      <c r="I107" s="12"/>
      <c r="J107" s="12"/>
      <c r="K107" s="12"/>
    </row>
    <row r="108" spans="2:11">
      <c r="B108" s="49"/>
      <c r="C108" s="12"/>
      <c r="D108" s="12"/>
      <c r="E108" s="12"/>
      <c r="F108" s="12"/>
      <c r="G108" s="12"/>
      <c r="H108" s="12"/>
      <c r="I108" s="12"/>
      <c r="J108" s="12"/>
      <c r="K108" s="12"/>
    </row>
    <row r="109" spans="2:11">
      <c r="B109" s="49"/>
      <c r="C109" s="12"/>
      <c r="D109" s="12"/>
      <c r="E109" s="12"/>
      <c r="F109" s="12"/>
      <c r="G109" s="12"/>
      <c r="H109" s="12"/>
      <c r="I109" s="12"/>
      <c r="J109" s="12"/>
      <c r="K109" s="12"/>
    </row>
    <row r="110" spans="2:11">
      <c r="B110" s="49"/>
      <c r="C110" s="12"/>
      <c r="D110" s="12"/>
      <c r="E110" s="12"/>
      <c r="F110" s="12"/>
      <c r="G110" s="12"/>
      <c r="H110" s="12"/>
      <c r="I110" s="12"/>
      <c r="J110" s="12"/>
      <c r="K110" s="12"/>
    </row>
    <row r="111" spans="2:11">
      <c r="B111" s="49"/>
      <c r="C111" s="12"/>
      <c r="D111" s="12"/>
      <c r="E111" s="12"/>
      <c r="F111" s="12"/>
      <c r="G111" s="12"/>
      <c r="H111" s="12"/>
      <c r="I111" s="12"/>
      <c r="J111" s="12"/>
      <c r="K111" s="12"/>
    </row>
    <row r="112" spans="2:11">
      <c r="B112" s="49"/>
      <c r="C112" s="12"/>
      <c r="D112" s="12"/>
      <c r="E112" s="12"/>
      <c r="F112" s="12"/>
      <c r="G112" s="12"/>
      <c r="H112" s="12"/>
      <c r="I112" s="12"/>
      <c r="J112" s="12"/>
      <c r="K112" s="12"/>
    </row>
    <row r="113" spans="2:11">
      <c r="B113" s="49"/>
      <c r="C113" s="12"/>
      <c r="D113" s="12"/>
      <c r="E113" s="12"/>
      <c r="F113" s="12"/>
      <c r="G113" s="12"/>
      <c r="H113" s="12"/>
      <c r="I113" s="12"/>
      <c r="J113" s="12"/>
      <c r="K113" s="12"/>
    </row>
    <row r="114" spans="2:11">
      <c r="B114" s="49"/>
      <c r="C114" s="12"/>
      <c r="D114" s="12"/>
      <c r="E114" s="12"/>
      <c r="F114" s="12"/>
      <c r="G114" s="12"/>
      <c r="H114" s="12"/>
      <c r="I114" s="12"/>
      <c r="J114" s="12"/>
      <c r="K114" s="12"/>
    </row>
    <row r="115" spans="2:11">
      <c r="B115" s="49"/>
      <c r="C115" s="12"/>
      <c r="D115" s="12"/>
      <c r="E115" s="12"/>
      <c r="F115" s="12"/>
      <c r="G115" s="12"/>
      <c r="H115" s="12"/>
      <c r="I115" s="12"/>
      <c r="J115" s="12"/>
      <c r="K115" s="12"/>
    </row>
    <row r="116" spans="2:11">
      <c r="B116" s="49"/>
      <c r="C116" s="12"/>
      <c r="D116" s="12"/>
      <c r="E116" s="12"/>
      <c r="F116" s="12"/>
      <c r="G116" s="12"/>
      <c r="H116" s="12"/>
      <c r="I116" s="12"/>
      <c r="J116" s="12"/>
      <c r="K116" s="12"/>
    </row>
    <row r="117" spans="2:11">
      <c r="B117" s="49"/>
      <c r="C117" s="12"/>
      <c r="D117" s="12"/>
      <c r="E117" s="12"/>
      <c r="F117" s="12"/>
      <c r="G117" s="12"/>
      <c r="H117" s="12"/>
      <c r="I117" s="12"/>
      <c r="J117" s="12"/>
      <c r="K117" s="12"/>
    </row>
    <row r="118" spans="2:11">
      <c r="B118" s="49"/>
      <c r="C118" s="12"/>
      <c r="D118" s="12"/>
      <c r="E118" s="12"/>
      <c r="F118" s="12"/>
      <c r="G118" s="12"/>
      <c r="H118" s="12"/>
      <c r="I118" s="12"/>
      <c r="J118" s="12"/>
      <c r="K118" s="12"/>
    </row>
    <row r="119" spans="2:11">
      <c r="B119" s="49"/>
      <c r="C119" s="12"/>
      <c r="D119" s="12"/>
      <c r="E119" s="12"/>
      <c r="F119" s="12"/>
      <c r="G119" s="12"/>
      <c r="H119" s="12"/>
      <c r="I119" s="12"/>
      <c r="J119" s="12"/>
      <c r="K119" s="12"/>
    </row>
    <row r="120" spans="2:11">
      <c r="B120" s="49"/>
      <c r="C120" s="12"/>
      <c r="D120" s="12"/>
      <c r="E120" s="12"/>
      <c r="F120" s="12"/>
      <c r="G120" s="12"/>
      <c r="H120" s="12"/>
      <c r="I120" s="12"/>
      <c r="J120" s="12"/>
      <c r="K120" s="12"/>
    </row>
    <row r="121" spans="2:11">
      <c r="B121" s="49"/>
      <c r="C121" s="12"/>
      <c r="D121" s="12"/>
      <c r="E121" s="12"/>
      <c r="F121" s="12"/>
      <c r="G121" s="12"/>
      <c r="H121" s="12"/>
      <c r="I121" s="12"/>
      <c r="J121" s="12"/>
      <c r="K121" s="12"/>
    </row>
    <row r="122" spans="2:11">
      <c r="B122" s="49"/>
      <c r="C122" s="12"/>
      <c r="D122" s="12"/>
      <c r="E122" s="12"/>
      <c r="F122" s="12"/>
      <c r="G122" s="12"/>
      <c r="H122" s="12"/>
      <c r="I122" s="12"/>
      <c r="J122" s="12"/>
      <c r="K122" s="12"/>
    </row>
    <row r="123" spans="2:11">
      <c r="B123" s="49"/>
      <c r="C123" s="12"/>
      <c r="D123" s="12"/>
      <c r="E123" s="12"/>
      <c r="F123" s="12"/>
      <c r="G123" s="12"/>
      <c r="H123" s="12"/>
      <c r="I123" s="12"/>
      <c r="J123" s="12"/>
      <c r="K123" s="12"/>
    </row>
    <row r="124" spans="2:11">
      <c r="B124" s="49"/>
      <c r="C124" s="12"/>
      <c r="D124" s="12"/>
      <c r="E124" s="12"/>
      <c r="F124" s="12"/>
      <c r="G124" s="12"/>
      <c r="H124" s="12"/>
      <c r="I124" s="12"/>
      <c r="J124" s="12"/>
      <c r="K124" s="12"/>
    </row>
    <row r="125" spans="2:11">
      <c r="B125" s="49"/>
      <c r="C125" s="12"/>
      <c r="D125" s="12"/>
      <c r="E125" s="12"/>
      <c r="F125" s="12"/>
      <c r="G125" s="12"/>
      <c r="H125" s="12"/>
      <c r="I125" s="12"/>
      <c r="J125" s="12"/>
      <c r="K125" s="12"/>
    </row>
    <row r="126" spans="2:11">
      <c r="B126" s="49"/>
      <c r="C126" s="12"/>
      <c r="D126" s="12"/>
      <c r="E126" s="12"/>
      <c r="F126" s="12"/>
      <c r="G126" s="12"/>
      <c r="H126" s="12"/>
      <c r="I126" s="12"/>
      <c r="J126" s="12"/>
      <c r="K126" s="12"/>
    </row>
    <row r="127" spans="2:11">
      <c r="B127" s="49"/>
      <c r="C127" s="12"/>
      <c r="D127" s="12"/>
      <c r="E127" s="12"/>
      <c r="F127" s="12"/>
      <c r="G127" s="12"/>
      <c r="H127" s="12"/>
      <c r="I127" s="12"/>
      <c r="J127" s="12"/>
      <c r="K127" s="12"/>
    </row>
    <row r="128" spans="2:11">
      <c r="B128" s="49"/>
      <c r="C128" s="12"/>
      <c r="D128" s="12"/>
      <c r="E128" s="12"/>
      <c r="F128" s="12"/>
      <c r="G128" s="12"/>
      <c r="H128" s="12"/>
      <c r="I128" s="12"/>
      <c r="J128" s="12"/>
      <c r="K128" s="12"/>
    </row>
    <row r="129" spans="2:11">
      <c r="B129" s="49"/>
      <c r="C129" s="12"/>
      <c r="D129" s="12"/>
      <c r="E129" s="12"/>
      <c r="F129" s="12"/>
      <c r="G129" s="12"/>
      <c r="H129" s="12"/>
      <c r="I129" s="12"/>
      <c r="J129" s="12"/>
      <c r="K129" s="12"/>
    </row>
    <row r="130" spans="2:11">
      <c r="B130" s="49"/>
      <c r="C130" s="12"/>
      <c r="D130" s="12"/>
      <c r="E130" s="12"/>
      <c r="F130" s="12"/>
      <c r="G130" s="12"/>
      <c r="H130" s="12"/>
      <c r="I130" s="12"/>
      <c r="J130" s="12"/>
      <c r="K130" s="12"/>
    </row>
    <row r="131" spans="2:11">
      <c r="B131" s="49"/>
      <c r="C131" s="12"/>
      <c r="D131" s="12"/>
      <c r="E131" s="12"/>
      <c r="F131" s="12"/>
      <c r="G131" s="12"/>
      <c r="H131" s="12"/>
      <c r="I131" s="12"/>
      <c r="J131" s="12"/>
      <c r="K131" s="12"/>
    </row>
    <row r="132" spans="2:11">
      <c r="B132" s="49"/>
      <c r="C132" s="12"/>
      <c r="D132" s="12"/>
      <c r="E132" s="12"/>
      <c r="F132" s="12"/>
      <c r="G132" s="12"/>
      <c r="H132" s="12"/>
      <c r="I132" s="12"/>
      <c r="J132" s="12"/>
      <c r="K132" s="12"/>
    </row>
    <row r="133" spans="2:11">
      <c r="B133" s="49"/>
      <c r="C133" s="12"/>
      <c r="D133" s="12"/>
      <c r="E133" s="12"/>
      <c r="F133" s="12"/>
      <c r="G133" s="12"/>
      <c r="H133" s="12"/>
      <c r="I133" s="12"/>
      <c r="J133" s="12"/>
      <c r="K133" s="12"/>
    </row>
    <row r="134" spans="2:11">
      <c r="B134" s="49"/>
      <c r="C134" s="12"/>
      <c r="D134" s="12"/>
      <c r="E134" s="12"/>
      <c r="F134" s="12"/>
      <c r="G134" s="12"/>
      <c r="H134" s="12"/>
      <c r="I134" s="12"/>
      <c r="J134" s="12"/>
      <c r="K134" s="12"/>
    </row>
    <row r="135" spans="2:11">
      <c r="B135" s="49"/>
      <c r="C135" s="12"/>
      <c r="D135" s="12"/>
      <c r="E135" s="12"/>
      <c r="F135" s="12"/>
      <c r="G135" s="12"/>
      <c r="H135" s="12"/>
      <c r="I135" s="12"/>
      <c r="J135" s="12"/>
      <c r="K135" s="12"/>
    </row>
    <row r="136" spans="2:11">
      <c r="B136" s="49"/>
      <c r="C136" s="12"/>
      <c r="D136" s="12"/>
      <c r="E136" s="12"/>
      <c r="F136" s="12"/>
      <c r="G136" s="12"/>
      <c r="H136" s="12"/>
      <c r="I136" s="12"/>
      <c r="J136" s="12"/>
      <c r="K136" s="12"/>
    </row>
    <row r="137" spans="2:11">
      <c r="B137" s="49"/>
      <c r="C137" s="12"/>
      <c r="D137" s="12"/>
      <c r="E137" s="12"/>
      <c r="F137" s="12"/>
      <c r="G137" s="12"/>
      <c r="H137" s="12"/>
      <c r="I137" s="12"/>
      <c r="J137" s="12"/>
      <c r="K137" s="12"/>
    </row>
    <row r="138" spans="2:11">
      <c r="B138" s="49"/>
      <c r="C138" s="12"/>
      <c r="D138" s="12"/>
      <c r="E138" s="12"/>
      <c r="F138" s="12"/>
      <c r="G138" s="12"/>
      <c r="H138" s="12"/>
      <c r="I138" s="12"/>
      <c r="J138" s="12"/>
      <c r="K138" s="12"/>
    </row>
    <row r="139" spans="2:11">
      <c r="B139" s="49"/>
      <c r="C139" s="12"/>
      <c r="D139" s="12"/>
      <c r="E139" s="12"/>
      <c r="F139" s="12"/>
      <c r="G139" s="12"/>
      <c r="H139" s="12"/>
      <c r="I139" s="12"/>
      <c r="J139" s="12"/>
      <c r="K139" s="12"/>
    </row>
    <row r="140" spans="2:11">
      <c r="B140" s="49"/>
      <c r="C140" s="12"/>
      <c r="D140" s="12"/>
      <c r="E140" s="12"/>
      <c r="F140" s="12"/>
      <c r="G140" s="12"/>
      <c r="H140" s="12"/>
      <c r="I140" s="12"/>
      <c r="J140" s="12"/>
      <c r="K140" s="12"/>
    </row>
    <row r="141" spans="2:11">
      <c r="B141" s="49"/>
      <c r="C141" s="12"/>
      <c r="D141" s="12"/>
      <c r="E141" s="12"/>
      <c r="F141" s="12"/>
      <c r="G141" s="12"/>
      <c r="H141" s="12"/>
      <c r="I141" s="12"/>
      <c r="J141" s="12"/>
      <c r="K141" s="12"/>
    </row>
    <row r="142" spans="2:11">
      <c r="B142" s="49"/>
      <c r="C142" s="12"/>
      <c r="D142" s="12"/>
      <c r="E142" s="12"/>
      <c r="F142" s="12"/>
      <c r="G142" s="12"/>
      <c r="H142" s="12"/>
      <c r="I142" s="12"/>
      <c r="J142" s="12"/>
      <c r="K142" s="12"/>
    </row>
    <row r="143" spans="2:11">
      <c r="B143" s="49"/>
      <c r="C143" s="12"/>
      <c r="D143" s="12"/>
      <c r="E143" s="12"/>
      <c r="F143" s="12"/>
      <c r="G143" s="12"/>
      <c r="H143" s="12"/>
      <c r="I143" s="12"/>
      <c r="J143" s="12"/>
      <c r="K143" s="12"/>
    </row>
    <row r="144" spans="2:11">
      <c r="B144" s="49"/>
      <c r="C144" s="12"/>
      <c r="D144" s="12"/>
      <c r="E144" s="12"/>
      <c r="F144" s="12"/>
      <c r="G144" s="12"/>
      <c r="H144" s="12"/>
      <c r="I144" s="12"/>
      <c r="J144" s="12"/>
      <c r="K144" s="12"/>
    </row>
    <row r="145" spans="2:11">
      <c r="B145" s="49"/>
      <c r="C145" s="12"/>
      <c r="D145" s="12"/>
      <c r="E145" s="12"/>
      <c r="F145" s="12"/>
      <c r="G145" s="12"/>
      <c r="H145" s="12"/>
      <c r="I145" s="12"/>
      <c r="J145" s="12"/>
      <c r="K145" s="12"/>
    </row>
    <row r="146" spans="2:11">
      <c r="B146" s="49"/>
      <c r="C146" s="12"/>
      <c r="D146" s="12"/>
      <c r="E146" s="12"/>
      <c r="F146" s="12"/>
      <c r="G146" s="12"/>
      <c r="H146" s="12"/>
      <c r="I146" s="12"/>
      <c r="J146" s="12"/>
      <c r="K146" s="12"/>
    </row>
    <row r="147" spans="2:11">
      <c r="B147" s="49"/>
      <c r="C147" s="12"/>
      <c r="D147" s="12"/>
      <c r="E147" s="12"/>
      <c r="F147" s="12"/>
      <c r="G147" s="12"/>
      <c r="H147" s="12"/>
      <c r="I147" s="12"/>
      <c r="J147" s="12"/>
      <c r="K147" s="12"/>
    </row>
    <row r="148" spans="2:11">
      <c r="B148" s="49"/>
      <c r="C148" s="12"/>
      <c r="D148" s="12"/>
      <c r="E148" s="12"/>
      <c r="F148" s="12"/>
      <c r="G148" s="12"/>
      <c r="H148" s="12"/>
      <c r="I148" s="12"/>
      <c r="J148" s="12"/>
      <c r="K148" s="12"/>
    </row>
    <row r="149" spans="2:11">
      <c r="B149" s="49"/>
      <c r="C149" s="12"/>
      <c r="D149" s="12"/>
      <c r="E149" s="12"/>
      <c r="F149" s="12"/>
      <c r="G149" s="12"/>
      <c r="H149" s="12"/>
      <c r="I149" s="12"/>
      <c r="J149" s="12"/>
      <c r="K149" s="12"/>
    </row>
    <row r="150" spans="2:11">
      <c r="B150" s="49"/>
      <c r="C150" s="12"/>
      <c r="D150" s="12"/>
      <c r="E150" s="12"/>
      <c r="F150" s="12"/>
      <c r="G150" s="12"/>
      <c r="H150" s="12"/>
      <c r="I150" s="12"/>
      <c r="J150" s="12"/>
      <c r="K150" s="12"/>
    </row>
    <row r="151" spans="2:11">
      <c r="B151" s="49"/>
      <c r="C151" s="12"/>
      <c r="D151" s="12"/>
      <c r="E151" s="12"/>
      <c r="F151" s="12"/>
      <c r="G151" s="12"/>
      <c r="H151" s="12"/>
      <c r="I151" s="12"/>
      <c r="J151" s="12"/>
      <c r="K151" s="12"/>
    </row>
    <row r="152" spans="2:11">
      <c r="B152" s="49"/>
      <c r="C152" s="12"/>
      <c r="D152" s="12"/>
      <c r="E152" s="12"/>
      <c r="F152" s="12"/>
      <c r="G152" s="12"/>
      <c r="H152" s="12"/>
      <c r="I152" s="12"/>
      <c r="J152" s="12"/>
      <c r="K152" s="12"/>
    </row>
    <row r="153" spans="2:11">
      <c r="B153" s="49"/>
      <c r="C153" s="12"/>
      <c r="D153" s="12"/>
      <c r="E153" s="12"/>
      <c r="F153" s="12"/>
      <c r="G153" s="12"/>
      <c r="H153" s="12"/>
      <c r="I153" s="12"/>
      <c r="J153" s="12"/>
      <c r="K153" s="12"/>
    </row>
    <row r="154" spans="2:11">
      <c r="B154" s="49"/>
      <c r="C154" s="12"/>
      <c r="D154" s="12"/>
      <c r="E154" s="12"/>
      <c r="F154" s="12"/>
      <c r="G154" s="12"/>
      <c r="H154" s="12"/>
      <c r="I154" s="12"/>
      <c r="J154" s="12"/>
      <c r="K154" s="12"/>
    </row>
    <row r="155" spans="2:11">
      <c r="B155" s="49"/>
      <c r="C155" s="12"/>
      <c r="D155" s="12"/>
      <c r="E155" s="12"/>
      <c r="F155" s="12"/>
      <c r="G155" s="12"/>
      <c r="H155" s="12"/>
      <c r="I155" s="12"/>
      <c r="J155" s="12"/>
      <c r="K155" s="12"/>
    </row>
    <row r="156" spans="2:11">
      <c r="B156" s="49"/>
      <c r="C156" s="12"/>
      <c r="D156" s="12"/>
      <c r="E156" s="12"/>
      <c r="F156" s="12"/>
      <c r="G156" s="12"/>
      <c r="H156" s="12"/>
      <c r="I156" s="12"/>
      <c r="J156" s="12"/>
      <c r="K156" s="12"/>
    </row>
    <row r="157" spans="2:11">
      <c r="B157" s="49"/>
      <c r="C157" s="12"/>
      <c r="D157" s="12"/>
      <c r="E157" s="12"/>
      <c r="F157" s="12"/>
      <c r="G157" s="12"/>
      <c r="H157" s="12"/>
      <c r="I157" s="12"/>
      <c r="J157" s="12"/>
      <c r="K157" s="12"/>
    </row>
    <row r="158" spans="2:11">
      <c r="B158" s="49"/>
      <c r="C158" s="12"/>
      <c r="D158" s="12"/>
      <c r="E158" s="12"/>
      <c r="F158" s="12"/>
      <c r="G158" s="12"/>
      <c r="H158" s="12"/>
      <c r="I158" s="12"/>
      <c r="J158" s="12"/>
      <c r="K158" s="12"/>
    </row>
    <row r="159" spans="2:11">
      <c r="B159" s="49"/>
      <c r="C159" s="12"/>
      <c r="D159" s="12"/>
      <c r="E159" s="12"/>
      <c r="F159" s="12"/>
      <c r="G159" s="12"/>
      <c r="H159" s="12"/>
      <c r="I159" s="12"/>
      <c r="J159" s="12"/>
      <c r="K159" s="12"/>
    </row>
    <row r="160" spans="2:11">
      <c r="B160" s="49"/>
      <c r="C160" s="12"/>
      <c r="D160" s="12"/>
      <c r="E160" s="12"/>
      <c r="F160" s="12"/>
      <c r="G160" s="12"/>
      <c r="H160" s="12"/>
      <c r="I160" s="12"/>
      <c r="J160" s="12"/>
      <c r="K160" s="12"/>
    </row>
    <row r="161" spans="2:11">
      <c r="B161" s="49"/>
      <c r="C161" s="12"/>
      <c r="D161" s="12"/>
      <c r="E161" s="12"/>
      <c r="F161" s="12"/>
      <c r="G161" s="12"/>
      <c r="H161" s="12"/>
      <c r="I161" s="12"/>
      <c r="J161" s="12"/>
      <c r="K161" s="12"/>
    </row>
    <row r="162" spans="2:11">
      <c r="B162" s="49"/>
      <c r="C162" s="12"/>
      <c r="D162" s="12"/>
      <c r="E162" s="12"/>
      <c r="F162" s="12"/>
      <c r="G162" s="12"/>
      <c r="H162" s="12"/>
      <c r="I162" s="12"/>
      <c r="J162" s="12"/>
      <c r="K162" s="12"/>
    </row>
    <row r="163" spans="2:11">
      <c r="B163" s="49"/>
      <c r="C163" s="12"/>
      <c r="D163" s="12"/>
      <c r="E163" s="12"/>
      <c r="F163" s="12"/>
      <c r="G163" s="12"/>
      <c r="H163" s="12"/>
      <c r="I163" s="12"/>
      <c r="J163" s="12"/>
      <c r="K163" s="12"/>
    </row>
    <row r="164" spans="2:11">
      <c r="B164" s="49"/>
      <c r="C164" s="12"/>
      <c r="D164" s="12"/>
      <c r="E164" s="12"/>
      <c r="F164" s="12"/>
      <c r="G164" s="12"/>
      <c r="H164" s="12"/>
      <c r="I164" s="12"/>
      <c r="J164" s="12"/>
      <c r="K164" s="12"/>
    </row>
    <row r="165" spans="2:11">
      <c r="B165" s="49"/>
      <c r="C165" s="12"/>
      <c r="D165" s="12"/>
      <c r="E165" s="12"/>
      <c r="F165" s="12"/>
      <c r="G165" s="12"/>
      <c r="H165" s="12"/>
      <c r="I165" s="12"/>
      <c r="J165" s="12"/>
      <c r="K165" s="12"/>
    </row>
    <row r="166" spans="2:11">
      <c r="B166" s="49"/>
      <c r="C166" s="12"/>
      <c r="D166" s="12"/>
      <c r="E166" s="12"/>
      <c r="F166" s="12"/>
      <c r="G166" s="12"/>
      <c r="H166" s="12"/>
      <c r="I166" s="12"/>
      <c r="J166" s="12"/>
      <c r="K166" s="12"/>
    </row>
    <row r="167" spans="2:11">
      <c r="B167" s="49"/>
      <c r="C167" s="12"/>
      <c r="D167" s="12"/>
      <c r="E167" s="12"/>
      <c r="F167" s="12"/>
      <c r="G167" s="12"/>
      <c r="H167" s="12"/>
      <c r="I167" s="12"/>
      <c r="J167" s="12"/>
      <c r="K167" s="12"/>
    </row>
    <row r="168" spans="2:11">
      <c r="B168" s="49"/>
      <c r="C168" s="12"/>
      <c r="D168" s="12"/>
      <c r="E168" s="12"/>
      <c r="F168" s="12"/>
      <c r="G168" s="12"/>
      <c r="H168" s="12"/>
      <c r="I168" s="12"/>
      <c r="J168" s="12"/>
      <c r="K168" s="12"/>
    </row>
    <row r="169" spans="2:11">
      <c r="B169" s="49"/>
      <c r="C169" s="12"/>
      <c r="D169" s="12"/>
      <c r="E169" s="12"/>
      <c r="F169" s="12"/>
      <c r="G169" s="12"/>
      <c r="H169" s="12"/>
      <c r="I169" s="12"/>
      <c r="J169" s="12"/>
      <c r="K169" s="12"/>
    </row>
    <row r="170" spans="2:11">
      <c r="B170" s="49"/>
      <c r="C170" s="12"/>
      <c r="D170" s="12"/>
      <c r="E170" s="12"/>
      <c r="F170" s="12"/>
      <c r="G170" s="12"/>
      <c r="H170" s="12"/>
      <c r="I170" s="12"/>
      <c r="J170" s="12"/>
      <c r="K170" s="12"/>
    </row>
    <row r="171" spans="2:11">
      <c r="B171" s="49"/>
      <c r="C171" s="12"/>
      <c r="D171" s="12"/>
      <c r="E171" s="12"/>
      <c r="F171" s="12"/>
      <c r="G171" s="12"/>
      <c r="H171" s="12"/>
      <c r="I171" s="12"/>
      <c r="J171" s="12"/>
      <c r="K171" s="12"/>
    </row>
    <row r="172" spans="2:11">
      <c r="B172" s="49"/>
      <c r="C172" s="12"/>
      <c r="D172" s="12"/>
      <c r="E172" s="12"/>
      <c r="F172" s="12"/>
      <c r="G172" s="12"/>
      <c r="H172" s="12"/>
      <c r="I172" s="12"/>
      <c r="J172" s="12"/>
      <c r="K172" s="12"/>
    </row>
    <row r="173" spans="2:11">
      <c r="B173" s="49"/>
      <c r="C173" s="12"/>
      <c r="D173" s="12"/>
      <c r="E173" s="12"/>
      <c r="F173" s="12"/>
      <c r="G173" s="12"/>
      <c r="H173" s="12"/>
      <c r="I173" s="12"/>
      <c r="J173" s="12"/>
      <c r="K173" s="12"/>
    </row>
    <row r="174" spans="2:11">
      <c r="B174" s="49"/>
      <c r="C174" s="12"/>
      <c r="D174" s="12"/>
      <c r="E174" s="12"/>
      <c r="F174" s="12"/>
      <c r="G174" s="12"/>
      <c r="H174" s="12"/>
      <c r="I174" s="12"/>
      <c r="J174" s="12"/>
      <c r="K174" s="12"/>
    </row>
    <row r="175" spans="2:11">
      <c r="B175" s="49"/>
      <c r="C175" s="12"/>
      <c r="D175" s="12"/>
      <c r="E175" s="12"/>
      <c r="F175" s="12"/>
      <c r="G175" s="12"/>
      <c r="H175" s="12"/>
      <c r="I175" s="12"/>
      <c r="J175" s="12"/>
      <c r="K175" s="12"/>
    </row>
    <row r="176" spans="2:11">
      <c r="B176" s="49"/>
      <c r="C176" s="12"/>
      <c r="D176" s="12"/>
      <c r="E176" s="12"/>
      <c r="F176" s="12"/>
      <c r="G176" s="12"/>
      <c r="H176" s="12"/>
      <c r="I176" s="12"/>
      <c r="J176" s="12"/>
      <c r="K176" s="12"/>
    </row>
    <row r="177" spans="2:11">
      <c r="B177" s="49"/>
      <c r="C177" s="12"/>
      <c r="D177" s="12"/>
      <c r="E177" s="12"/>
      <c r="F177" s="12"/>
      <c r="G177" s="12"/>
      <c r="H177" s="12"/>
      <c r="I177" s="12"/>
      <c r="J177" s="12"/>
      <c r="K177" s="12"/>
    </row>
    <row r="178" spans="2:11">
      <c r="B178" s="49"/>
      <c r="C178" s="12"/>
      <c r="D178" s="12"/>
      <c r="E178" s="12"/>
      <c r="F178" s="12"/>
      <c r="G178" s="12"/>
      <c r="H178" s="12"/>
      <c r="I178" s="12"/>
      <c r="J178" s="12"/>
      <c r="K178" s="12"/>
    </row>
    <row r="179" spans="2:11">
      <c r="B179" s="49"/>
      <c r="C179" s="12"/>
      <c r="D179" s="12"/>
      <c r="E179" s="12"/>
      <c r="F179" s="12"/>
      <c r="G179" s="12"/>
      <c r="H179" s="12"/>
      <c r="I179" s="12"/>
      <c r="J179" s="12"/>
      <c r="K179" s="12"/>
    </row>
    <row r="180" spans="2:11">
      <c r="B180" s="49"/>
      <c r="C180" s="12"/>
      <c r="D180" s="12"/>
      <c r="E180" s="12"/>
      <c r="F180" s="12"/>
      <c r="G180" s="12"/>
      <c r="H180" s="12"/>
      <c r="I180" s="12"/>
      <c r="J180" s="12"/>
      <c r="K180" s="12"/>
    </row>
    <row r="181" spans="2:11">
      <c r="B181" s="49"/>
      <c r="C181" s="12"/>
      <c r="D181" s="12"/>
      <c r="E181" s="12"/>
      <c r="F181" s="12"/>
      <c r="G181" s="12"/>
      <c r="H181" s="12"/>
      <c r="I181" s="12"/>
      <c r="J181" s="12"/>
      <c r="K181" s="12"/>
    </row>
    <row r="182" spans="2:11">
      <c r="B182" s="49"/>
      <c r="C182" s="12"/>
      <c r="D182" s="12"/>
      <c r="E182" s="12"/>
      <c r="F182" s="12"/>
      <c r="G182" s="12"/>
      <c r="H182" s="12"/>
      <c r="I182" s="12"/>
      <c r="J182" s="12"/>
      <c r="K182" s="12"/>
    </row>
    <row r="183" spans="2:11">
      <c r="B183" s="49"/>
      <c r="C183" s="12"/>
      <c r="D183" s="12"/>
      <c r="E183" s="12"/>
      <c r="F183" s="12"/>
      <c r="G183" s="12"/>
      <c r="H183" s="12"/>
      <c r="I183" s="12"/>
      <c r="J183" s="12"/>
      <c r="K183" s="12"/>
    </row>
    <row r="184" spans="2:11">
      <c r="B184" s="49"/>
      <c r="C184" s="12"/>
      <c r="D184" s="12"/>
      <c r="E184" s="12"/>
      <c r="F184" s="12"/>
      <c r="G184" s="12"/>
      <c r="H184" s="12"/>
      <c r="I184" s="12"/>
      <c r="J184" s="12"/>
      <c r="K184" s="12"/>
    </row>
    <row r="185" spans="2:11">
      <c r="B185" s="49"/>
      <c r="C185" s="12"/>
      <c r="D185" s="12"/>
      <c r="E185" s="12"/>
      <c r="F185" s="12"/>
      <c r="G185" s="12"/>
      <c r="H185" s="12"/>
      <c r="I185" s="12"/>
      <c r="J185" s="12"/>
      <c r="K185" s="12"/>
    </row>
    <row r="186" spans="2:11">
      <c r="B186" s="49"/>
      <c r="C186" s="12"/>
      <c r="D186" s="12"/>
      <c r="E186" s="12"/>
      <c r="F186" s="12"/>
      <c r="G186" s="12"/>
      <c r="H186" s="12"/>
      <c r="I186" s="12"/>
      <c r="J186" s="12"/>
      <c r="K186" s="12"/>
    </row>
    <row r="187" spans="2:11">
      <c r="B187" s="49"/>
      <c r="C187" s="12"/>
      <c r="D187" s="12"/>
      <c r="E187" s="12"/>
      <c r="F187" s="12"/>
      <c r="G187" s="12"/>
      <c r="H187" s="12"/>
      <c r="I187" s="12"/>
      <c r="J187" s="12"/>
      <c r="K187" s="12"/>
    </row>
    <row r="188" spans="2:11">
      <c r="B188" s="49"/>
      <c r="C188" s="12"/>
      <c r="D188" s="12"/>
      <c r="E188" s="12"/>
      <c r="F188" s="12"/>
      <c r="G188" s="12"/>
      <c r="H188" s="12"/>
      <c r="I188" s="12"/>
      <c r="J188" s="12"/>
      <c r="K188" s="12"/>
    </row>
    <row r="189" spans="2:11">
      <c r="B189" s="49"/>
      <c r="C189" s="12"/>
      <c r="D189" s="12"/>
      <c r="E189" s="12"/>
      <c r="F189" s="12"/>
      <c r="G189" s="12"/>
      <c r="H189" s="12"/>
      <c r="I189" s="12"/>
      <c r="J189" s="12"/>
      <c r="K189" s="12"/>
    </row>
    <row r="190" spans="2:11">
      <c r="B190" s="49"/>
      <c r="C190" s="12"/>
      <c r="D190" s="12"/>
      <c r="E190" s="12"/>
      <c r="F190" s="12"/>
      <c r="G190" s="12"/>
      <c r="H190" s="12"/>
      <c r="I190" s="12"/>
      <c r="J190" s="12"/>
      <c r="K190" s="12"/>
    </row>
    <row r="191" spans="2:11">
      <c r="B191" s="49"/>
      <c r="C191" s="12"/>
      <c r="D191" s="12"/>
      <c r="E191" s="12"/>
      <c r="F191" s="12"/>
      <c r="G191" s="12"/>
      <c r="H191" s="12"/>
      <c r="I191" s="12"/>
      <c r="J191" s="12"/>
      <c r="K191" s="12"/>
    </row>
    <row r="192" spans="2:11">
      <c r="B192" s="49"/>
      <c r="C192" s="12"/>
      <c r="D192" s="12"/>
      <c r="E192" s="12"/>
      <c r="F192" s="12"/>
      <c r="G192" s="12"/>
      <c r="H192" s="12"/>
      <c r="I192" s="12"/>
      <c r="J192" s="12"/>
      <c r="K192" s="12"/>
    </row>
    <row r="193" spans="2:11">
      <c r="B193" s="49"/>
      <c r="C193" s="12"/>
      <c r="D193" s="12"/>
      <c r="E193" s="12"/>
      <c r="F193" s="12"/>
      <c r="G193" s="12"/>
      <c r="H193" s="12"/>
      <c r="I193" s="12"/>
      <c r="J193" s="12"/>
      <c r="K193" s="12"/>
    </row>
    <row r="194" spans="2:11">
      <c r="B194" s="49"/>
      <c r="C194" s="12"/>
      <c r="D194" s="12"/>
      <c r="E194" s="12"/>
      <c r="F194" s="12"/>
      <c r="G194" s="12"/>
      <c r="H194" s="12"/>
      <c r="I194" s="12"/>
      <c r="J194" s="12"/>
      <c r="K194" s="12"/>
    </row>
    <row r="195" spans="2:11">
      <c r="B195" s="49"/>
      <c r="C195" s="12"/>
      <c r="D195" s="12"/>
      <c r="E195" s="12"/>
      <c r="F195" s="12"/>
      <c r="G195" s="12"/>
      <c r="H195" s="12"/>
      <c r="I195" s="12"/>
      <c r="J195" s="12"/>
      <c r="K195" s="12"/>
    </row>
    <row r="196" spans="2:11">
      <c r="B196" s="49"/>
      <c r="C196" s="12"/>
      <c r="D196" s="12"/>
      <c r="E196" s="12"/>
      <c r="F196" s="12"/>
      <c r="G196" s="12"/>
      <c r="H196" s="12"/>
      <c r="I196" s="12"/>
      <c r="J196" s="12"/>
      <c r="K196" s="12"/>
    </row>
    <row r="197" spans="2:11">
      <c r="B197" s="49"/>
      <c r="C197" s="12"/>
      <c r="D197" s="12"/>
      <c r="E197" s="12"/>
      <c r="F197" s="12"/>
      <c r="G197" s="12"/>
      <c r="H197" s="12"/>
      <c r="I197" s="12"/>
      <c r="J197" s="12"/>
      <c r="K197" s="12"/>
    </row>
    <row r="198" spans="2:11">
      <c r="B198" s="49"/>
      <c r="C198" s="12"/>
      <c r="D198" s="12"/>
      <c r="E198" s="12"/>
      <c r="F198" s="12"/>
      <c r="G198" s="12"/>
      <c r="H198" s="12"/>
      <c r="I198" s="12"/>
      <c r="J198" s="12"/>
      <c r="K198" s="12"/>
    </row>
    <row r="199" spans="2:11">
      <c r="B199" s="49"/>
      <c r="C199" s="12"/>
      <c r="D199" s="12"/>
      <c r="E199" s="12"/>
      <c r="F199" s="12"/>
      <c r="G199" s="12"/>
      <c r="H199" s="12"/>
      <c r="I199" s="12"/>
      <c r="J199" s="12"/>
      <c r="K199" s="12"/>
    </row>
    <row r="200" spans="2:11">
      <c r="B200" s="49"/>
      <c r="C200" s="12"/>
      <c r="D200" s="12"/>
      <c r="E200" s="12"/>
      <c r="F200" s="12"/>
      <c r="G200" s="12"/>
      <c r="H200" s="12"/>
      <c r="I200" s="12"/>
      <c r="J200" s="12"/>
      <c r="K200" s="12"/>
    </row>
    <row r="201" spans="2:11">
      <c r="B201" s="49"/>
      <c r="C201" s="12"/>
      <c r="D201" s="12"/>
      <c r="E201" s="12"/>
      <c r="F201" s="12"/>
      <c r="G201" s="12"/>
      <c r="H201" s="12"/>
      <c r="I201" s="12"/>
      <c r="J201" s="12"/>
      <c r="K201" s="12"/>
    </row>
    <row r="202" spans="2:11">
      <c r="B202" s="49"/>
      <c r="C202" s="12"/>
      <c r="D202" s="12"/>
      <c r="E202" s="12"/>
      <c r="F202" s="12"/>
      <c r="G202" s="12"/>
      <c r="H202" s="12"/>
      <c r="I202" s="12"/>
      <c r="J202" s="12"/>
      <c r="K202" s="12"/>
    </row>
    <row r="203" spans="2:11">
      <c r="B203" s="49"/>
      <c r="C203" s="12"/>
      <c r="D203" s="12"/>
      <c r="E203" s="12"/>
      <c r="F203" s="12"/>
      <c r="G203" s="12"/>
      <c r="H203" s="12"/>
      <c r="I203" s="12"/>
      <c r="J203" s="12"/>
      <c r="K203" s="12"/>
    </row>
    <row r="204" spans="2:11">
      <c r="B204" s="49"/>
      <c r="C204" s="12"/>
      <c r="D204" s="12"/>
      <c r="E204" s="12"/>
      <c r="F204" s="12"/>
      <c r="G204" s="12"/>
      <c r="H204" s="12"/>
      <c r="I204" s="12"/>
      <c r="J204" s="12"/>
      <c r="K204" s="12"/>
    </row>
    <row r="205" spans="2:11">
      <c r="B205" s="49"/>
      <c r="C205" s="12"/>
      <c r="D205" s="12"/>
      <c r="E205" s="12"/>
      <c r="F205" s="12"/>
      <c r="G205" s="12"/>
      <c r="H205" s="12"/>
      <c r="I205" s="12"/>
      <c r="J205" s="12"/>
      <c r="K205" s="12"/>
    </row>
    <row r="206" spans="2:11">
      <c r="B206" s="49"/>
      <c r="C206" s="12"/>
      <c r="D206" s="12"/>
      <c r="E206" s="12"/>
      <c r="F206" s="12"/>
      <c r="G206" s="12"/>
      <c r="H206" s="12"/>
      <c r="I206" s="12"/>
      <c r="J206" s="12"/>
      <c r="K206" s="12"/>
    </row>
    <row r="207" spans="2:11">
      <c r="B207" s="49"/>
      <c r="C207" s="12"/>
      <c r="D207" s="12"/>
      <c r="E207" s="12"/>
      <c r="F207" s="12"/>
      <c r="G207" s="12"/>
      <c r="H207" s="12"/>
      <c r="I207" s="12"/>
      <c r="J207" s="12"/>
      <c r="K207" s="12"/>
    </row>
    <row r="208" spans="2:11">
      <c r="B208" s="49"/>
      <c r="C208" s="12"/>
      <c r="D208" s="12"/>
      <c r="E208" s="12"/>
      <c r="F208" s="12"/>
      <c r="G208" s="12"/>
      <c r="H208" s="12"/>
      <c r="I208" s="12"/>
      <c r="J208" s="12"/>
      <c r="K208" s="12"/>
    </row>
    <row r="209" spans="2:11">
      <c r="B209" s="49"/>
      <c r="C209" s="12"/>
      <c r="D209" s="12"/>
      <c r="E209" s="12"/>
      <c r="F209" s="12"/>
      <c r="G209" s="12"/>
      <c r="H209" s="12"/>
      <c r="I209" s="12"/>
      <c r="J209" s="12"/>
      <c r="K209" s="12"/>
    </row>
    <row r="210" spans="2:11">
      <c r="B210" s="49"/>
      <c r="C210" s="12"/>
      <c r="D210" s="12"/>
      <c r="E210" s="12"/>
      <c r="F210" s="12"/>
      <c r="G210" s="12"/>
      <c r="H210" s="12"/>
      <c r="I210" s="12"/>
      <c r="J210" s="12"/>
      <c r="K210" s="12"/>
    </row>
    <row r="211" spans="2:11" ht="14.25" customHeight="1">
      <c r="B211" s="49"/>
      <c r="C211" s="12"/>
      <c r="D211" s="12"/>
      <c r="E211" s="12"/>
      <c r="F211" s="12"/>
      <c r="G211" s="12"/>
      <c r="H211" s="12"/>
      <c r="I211" s="12"/>
      <c r="J211" s="12"/>
      <c r="K211" s="12"/>
    </row>
    <row r="212" spans="2:11" ht="12.75" customHeight="1">
      <c r="B212" s="49"/>
      <c r="C212" s="12"/>
      <c r="D212" s="12"/>
      <c r="E212" s="12"/>
      <c r="F212" s="12"/>
      <c r="G212" s="12"/>
      <c r="H212" s="12"/>
      <c r="I212" s="12"/>
      <c r="J212" s="12"/>
      <c r="K212" s="12"/>
    </row>
    <row r="213" spans="2:11" ht="12.75" customHeight="1">
      <c r="B213" s="49"/>
      <c r="C213" s="12"/>
      <c r="D213" s="12"/>
      <c r="E213" s="12"/>
      <c r="F213" s="12"/>
      <c r="G213" s="12"/>
      <c r="H213" s="12"/>
      <c r="I213" s="12"/>
      <c r="J213" s="12"/>
      <c r="K213" s="12"/>
    </row>
    <row r="214" spans="2:11" ht="12.75" customHeight="1">
      <c r="B214" s="49"/>
      <c r="C214" s="12"/>
      <c r="D214" s="12"/>
      <c r="E214" s="12"/>
      <c r="F214" s="12"/>
      <c r="G214" s="12"/>
      <c r="H214" s="12"/>
      <c r="I214" s="12"/>
      <c r="J214" s="12"/>
      <c r="K214" s="12"/>
    </row>
    <row r="215" spans="2:11" ht="12.75" customHeight="1">
      <c r="B215" s="49"/>
      <c r="C215" s="12"/>
      <c r="D215" s="12"/>
      <c r="E215" s="12"/>
      <c r="F215" s="12"/>
      <c r="G215" s="12"/>
      <c r="H215" s="12"/>
      <c r="I215" s="12"/>
      <c r="J215" s="12"/>
      <c r="K215" s="12"/>
    </row>
    <row r="216" spans="2:11" ht="12.75" customHeight="1">
      <c r="B216" s="49"/>
      <c r="C216" s="12"/>
      <c r="D216" s="12"/>
      <c r="E216" s="12"/>
      <c r="F216" s="12"/>
      <c r="G216" s="12"/>
      <c r="H216" s="12"/>
      <c r="I216" s="12"/>
      <c r="J216" s="12"/>
      <c r="K216" s="12"/>
    </row>
    <row r="217" spans="2:11" ht="12.75" customHeight="1">
      <c r="B217" s="49"/>
      <c r="C217" s="12"/>
      <c r="D217" s="12"/>
      <c r="E217" s="12"/>
      <c r="F217" s="12"/>
      <c r="G217" s="12"/>
      <c r="H217" s="12"/>
      <c r="I217" s="12"/>
      <c r="J217" s="12"/>
      <c r="K217" s="12"/>
    </row>
    <row r="218" spans="2:11" ht="12.75" customHeight="1">
      <c r="B218" s="49"/>
      <c r="C218" s="12"/>
      <c r="D218" s="12"/>
      <c r="E218" s="12"/>
      <c r="F218" s="12"/>
      <c r="G218" s="12"/>
      <c r="H218" s="12"/>
      <c r="I218" s="12"/>
      <c r="J218" s="12"/>
      <c r="K218" s="12"/>
    </row>
    <row r="219" spans="2:11" ht="12.75" customHeight="1">
      <c r="B219" s="49"/>
      <c r="C219" s="12"/>
      <c r="D219" s="12"/>
      <c r="E219" s="12"/>
      <c r="F219" s="12"/>
      <c r="G219" s="12"/>
      <c r="H219" s="12"/>
      <c r="I219" s="12"/>
      <c r="J219" s="12"/>
      <c r="K219" s="12"/>
    </row>
    <row r="220" spans="2:11" ht="12.75" customHeight="1">
      <c r="B220" s="49"/>
      <c r="C220" s="12"/>
      <c r="D220" s="12"/>
      <c r="E220" s="12"/>
      <c r="F220" s="12"/>
      <c r="G220" s="12"/>
      <c r="H220" s="12"/>
      <c r="I220" s="12"/>
      <c r="J220" s="12"/>
      <c r="K220" s="12"/>
    </row>
    <row r="221" spans="2:11" ht="12.75" customHeight="1">
      <c r="B221" s="49"/>
      <c r="C221" s="12"/>
      <c r="D221" s="12"/>
      <c r="E221" s="12"/>
      <c r="F221" s="12"/>
      <c r="G221" s="12"/>
      <c r="H221" s="12"/>
      <c r="I221" s="12"/>
      <c r="J221" s="12"/>
      <c r="K221" s="12"/>
    </row>
    <row r="222" spans="2:11" ht="12.75" customHeight="1">
      <c r="B222" s="49"/>
      <c r="C222" s="12"/>
      <c r="D222" s="12"/>
      <c r="E222" s="12"/>
      <c r="F222" s="12"/>
      <c r="G222" s="12"/>
      <c r="H222" s="12"/>
      <c r="I222" s="12"/>
      <c r="J222" s="12"/>
      <c r="K222" s="12"/>
    </row>
    <row r="223" spans="2:11" ht="12.75" customHeight="1">
      <c r="B223" s="49"/>
      <c r="C223" s="12"/>
      <c r="D223" s="12"/>
      <c r="E223" s="12"/>
      <c r="F223" s="12"/>
      <c r="G223" s="12"/>
      <c r="H223" s="12"/>
      <c r="I223" s="12"/>
      <c r="J223" s="12"/>
      <c r="K223" s="12"/>
    </row>
    <row r="224" spans="2:11" ht="12.75" customHeight="1">
      <c r="B224" s="49"/>
      <c r="C224" s="12"/>
      <c r="D224" s="12"/>
      <c r="E224" s="12"/>
      <c r="F224" s="12"/>
      <c r="G224" s="12"/>
      <c r="H224" s="12"/>
      <c r="I224" s="12"/>
      <c r="J224" s="12"/>
      <c r="K224" s="12"/>
    </row>
    <row r="225" spans="2:11" ht="12.75" customHeight="1">
      <c r="B225" s="49"/>
      <c r="C225" s="12"/>
      <c r="D225" s="12"/>
      <c r="E225" s="12"/>
      <c r="F225" s="12"/>
      <c r="G225" s="12"/>
      <c r="H225" s="12"/>
      <c r="I225" s="12"/>
      <c r="J225" s="12"/>
      <c r="K225" s="12"/>
    </row>
    <row r="226" spans="2:11" ht="12.75" customHeight="1">
      <c r="B226" s="49"/>
      <c r="C226" s="12"/>
      <c r="D226" s="12"/>
      <c r="E226" s="12"/>
      <c r="F226" s="12"/>
      <c r="G226" s="12"/>
      <c r="H226" s="12"/>
      <c r="I226" s="12"/>
      <c r="J226" s="12"/>
      <c r="K226" s="12"/>
    </row>
    <row r="227" spans="2:11">
      <c r="B227" s="49"/>
      <c r="C227" s="12"/>
      <c r="D227" s="12"/>
      <c r="E227" s="12"/>
      <c r="F227" s="12"/>
      <c r="G227" s="12"/>
      <c r="H227" s="12"/>
      <c r="I227" s="12"/>
      <c r="J227" s="12"/>
      <c r="K227" s="12"/>
    </row>
    <row r="228" spans="2:11">
      <c r="B228" s="49"/>
      <c r="C228" s="12"/>
      <c r="D228" s="12"/>
      <c r="E228" s="12"/>
      <c r="F228" s="12"/>
      <c r="G228" s="12"/>
      <c r="H228" s="12"/>
      <c r="I228" s="12"/>
      <c r="J228" s="12"/>
      <c r="K228" s="12"/>
    </row>
    <row r="229" spans="2:11">
      <c r="B229" s="49"/>
      <c r="C229" s="12"/>
      <c r="D229" s="12"/>
      <c r="E229" s="12"/>
      <c r="F229" s="12"/>
      <c r="G229" s="12"/>
      <c r="H229" s="12"/>
      <c r="I229" s="12"/>
      <c r="J229" s="12"/>
      <c r="K229" s="12"/>
    </row>
    <row r="230" spans="2:11">
      <c r="B230" s="49"/>
      <c r="C230" s="12"/>
      <c r="D230" s="12"/>
      <c r="E230" s="12"/>
      <c r="F230" s="12"/>
      <c r="G230" s="12"/>
      <c r="H230" s="12"/>
      <c r="I230" s="12"/>
      <c r="J230" s="12"/>
      <c r="K230" s="12"/>
    </row>
    <row r="231" spans="2:11">
      <c r="B231" s="49"/>
      <c r="C231" s="12"/>
      <c r="D231" s="12"/>
      <c r="E231" s="12"/>
      <c r="F231" s="12"/>
      <c r="G231" s="12"/>
      <c r="H231" s="12"/>
      <c r="I231" s="12"/>
      <c r="J231" s="12"/>
      <c r="K231" s="12"/>
    </row>
    <row r="232" spans="2:11">
      <c r="B232" s="49"/>
      <c r="C232" s="12"/>
      <c r="D232" s="12"/>
      <c r="E232" s="12"/>
      <c r="F232" s="12"/>
      <c r="G232" s="12"/>
      <c r="H232" s="12"/>
      <c r="I232" s="12"/>
      <c r="J232" s="12"/>
      <c r="K232" s="12"/>
    </row>
    <row r="233" spans="2:11">
      <c r="B233" s="49"/>
      <c r="C233" s="12"/>
      <c r="D233" s="12"/>
      <c r="E233" s="12"/>
      <c r="F233" s="12"/>
      <c r="G233" s="12"/>
      <c r="H233" s="12"/>
      <c r="I233" s="12"/>
      <c r="J233" s="12"/>
      <c r="K233" s="12"/>
    </row>
    <row r="234" spans="2:11">
      <c r="B234" s="49"/>
      <c r="C234" s="12"/>
      <c r="D234" s="12"/>
      <c r="E234" s="12"/>
      <c r="F234" s="12"/>
      <c r="G234" s="12"/>
      <c r="H234" s="12"/>
      <c r="I234" s="12"/>
      <c r="J234" s="12"/>
      <c r="K234" s="12"/>
    </row>
    <row r="235" spans="2:11">
      <c r="B235" s="49"/>
      <c r="C235" s="12"/>
      <c r="D235" s="12"/>
      <c r="E235" s="12"/>
      <c r="F235" s="12"/>
      <c r="G235" s="12"/>
      <c r="H235" s="12"/>
      <c r="I235" s="12"/>
      <c r="J235" s="12"/>
      <c r="K235" s="12"/>
    </row>
    <row r="236" spans="2:11">
      <c r="B236" s="49"/>
      <c r="C236" s="12"/>
      <c r="D236" s="12"/>
      <c r="E236" s="12"/>
      <c r="F236" s="12"/>
      <c r="G236" s="12"/>
      <c r="H236" s="12"/>
      <c r="I236" s="12"/>
      <c r="J236" s="12"/>
      <c r="K236" s="12"/>
    </row>
    <row r="237" spans="2:11">
      <c r="B237" s="49"/>
      <c r="C237" s="12"/>
      <c r="D237" s="12"/>
      <c r="E237" s="12"/>
      <c r="F237" s="12"/>
      <c r="G237" s="12"/>
      <c r="H237" s="12"/>
      <c r="I237" s="12"/>
      <c r="J237" s="12"/>
      <c r="K237" s="12"/>
    </row>
    <row r="238" spans="2:11">
      <c r="B238" s="49"/>
      <c r="C238" s="12"/>
      <c r="D238" s="12"/>
      <c r="E238" s="12"/>
      <c r="F238" s="12"/>
      <c r="G238" s="12"/>
      <c r="H238" s="12"/>
      <c r="I238" s="12"/>
      <c r="J238" s="12"/>
      <c r="K238" s="12"/>
    </row>
    <row r="239" spans="2:11">
      <c r="B239" s="49"/>
      <c r="C239" s="12"/>
      <c r="D239" s="12"/>
      <c r="E239" s="12"/>
      <c r="F239" s="12"/>
      <c r="G239" s="12"/>
      <c r="H239" s="12"/>
      <c r="I239" s="12"/>
      <c r="J239" s="12"/>
      <c r="K239" s="12"/>
    </row>
    <row r="240" spans="2:11">
      <c r="B240" s="49"/>
      <c r="C240" s="12"/>
      <c r="D240" s="12"/>
      <c r="E240" s="12"/>
      <c r="F240" s="12"/>
      <c r="G240" s="12"/>
      <c r="H240" s="12"/>
      <c r="I240" s="12"/>
      <c r="J240" s="12"/>
      <c r="K240" s="12"/>
    </row>
    <row r="241" spans="2:11">
      <c r="B241" s="49"/>
      <c r="C241" s="12"/>
      <c r="D241" s="12"/>
      <c r="E241" s="12"/>
      <c r="F241" s="12"/>
      <c r="G241" s="12"/>
      <c r="H241" s="12"/>
      <c r="I241" s="12"/>
      <c r="J241" s="12"/>
      <c r="K241" s="12"/>
    </row>
    <row r="242" spans="2:11">
      <c r="B242" s="49"/>
      <c r="C242" s="12"/>
      <c r="D242" s="12"/>
      <c r="E242" s="12"/>
      <c r="F242" s="12"/>
      <c r="G242" s="12"/>
      <c r="H242" s="12"/>
      <c r="I242" s="12"/>
      <c r="J242" s="12"/>
      <c r="K242" s="12"/>
    </row>
    <row r="243" spans="2:11">
      <c r="B243" s="49"/>
      <c r="C243" s="12"/>
      <c r="D243" s="12"/>
      <c r="E243" s="12"/>
      <c r="F243" s="12"/>
      <c r="G243" s="12"/>
      <c r="H243" s="12"/>
      <c r="I243" s="12"/>
      <c r="J243" s="12"/>
      <c r="K243" s="12"/>
    </row>
    <row r="244" spans="2:11">
      <c r="B244" s="49"/>
      <c r="C244" s="12"/>
      <c r="D244" s="12"/>
      <c r="E244" s="12"/>
      <c r="F244" s="12"/>
      <c r="G244" s="12"/>
      <c r="H244" s="12"/>
      <c r="I244" s="12"/>
      <c r="J244" s="12"/>
      <c r="K244" s="12"/>
    </row>
  </sheetData>
  <mergeCells count="5">
    <mergeCell ref="G54:G57"/>
    <mergeCell ref="A2:J2"/>
    <mergeCell ref="A3:J3"/>
    <mergeCell ref="A4:J4"/>
    <mergeCell ref="A5:J5"/>
  </mergeCells>
  <phoneticPr fontId="0" type="noConversion"/>
  <printOptions horizontalCentered="1"/>
  <pageMargins left="0.25" right="0.25" top="1" bottom="1" header="0.65" footer="0.5"/>
  <pageSetup scale="10"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X330"/>
  <sheetViews>
    <sheetView zoomScale="85" zoomScaleNormal="85" zoomScaleSheetLayoutView="100" zoomScalePageLayoutView="80" workbookViewId="0">
      <pane xSplit="9" ySplit="9" topLeftCell="J223" activePane="bottomRight" state="frozen"/>
      <selection pane="topRight" activeCell="J1" sqref="J1"/>
      <selection pane="bottomLeft" activeCell="A10" sqref="A10"/>
      <selection pane="bottomRight" activeCell="G229" sqref="G229"/>
    </sheetView>
  </sheetViews>
  <sheetFormatPr defaultColWidth="8.81640625" defaultRowHeight="12.5"/>
  <cols>
    <col min="1" max="2" width="1.54296875" style="12" customWidth="1"/>
    <col min="3" max="3" width="11.54296875" style="12" customWidth="1"/>
    <col min="4" max="4" width="1.54296875" style="770" customWidth="1"/>
    <col min="5" max="5" width="12.453125" style="12" customWidth="1"/>
    <col min="6" max="6" width="1.54296875" style="12" customWidth="1"/>
    <col min="7" max="7" width="60" style="12" customWidth="1"/>
    <col min="8" max="8" width="17.453125" style="771" bestFit="1" customWidth="1"/>
    <col min="9" max="9" width="16.453125" style="12" bestFit="1" customWidth="1"/>
    <col min="10" max="10" width="14.453125" style="12" customWidth="1"/>
    <col min="11" max="11" width="14.81640625" style="12" customWidth="1"/>
    <col min="12" max="12" width="17.453125" style="12" customWidth="1"/>
    <col min="13" max="14" width="13.54296875" style="12" customWidth="1"/>
    <col min="15" max="15" width="14.54296875" style="12" customWidth="1"/>
    <col min="16" max="16" width="12.81640625" style="12" customWidth="1"/>
    <col min="17" max="16384" width="8.81640625" style="12"/>
  </cols>
  <sheetData>
    <row r="1" spans="1:24" ht="15.5">
      <c r="A1" s="206"/>
    </row>
    <row r="2" spans="1:24" ht="20">
      <c r="A2" s="772"/>
      <c r="B2" s="773"/>
      <c r="D2" s="12"/>
      <c r="I2" s="20"/>
      <c r="J2" s="20"/>
      <c r="K2" s="20"/>
      <c r="L2" s="20"/>
      <c r="M2" s="20"/>
      <c r="N2" s="36"/>
    </row>
    <row r="3" spans="1:24" ht="20.25" customHeight="1">
      <c r="A3" s="36"/>
      <c r="B3" s="127"/>
      <c r="C3" s="2292" t="str">
        <f>+'PSO TCOS'!F4</f>
        <v xml:space="preserve">AEP West SPP Member Operating Companies </v>
      </c>
      <c r="D3" s="2292"/>
      <c r="E3" s="2292"/>
      <c r="F3" s="2292"/>
      <c r="G3" s="2292"/>
      <c r="H3" s="2292"/>
      <c r="I3" s="2292"/>
      <c r="J3" s="2292"/>
      <c r="K3" s="2292"/>
      <c r="L3" s="2292"/>
      <c r="M3" s="2292"/>
      <c r="N3" s="2292"/>
    </row>
    <row r="4" spans="1:24" ht="20.25" customHeight="1">
      <c r="C4" s="2290" t="str">
        <f>+'PSO TCOS'!F8</f>
        <v>PUBLIC SERVICE COMPANY OF OKLAHOMA</v>
      </c>
      <c r="D4" s="2290"/>
      <c r="E4" s="2290"/>
      <c r="F4" s="2290"/>
      <c r="G4" s="2290"/>
      <c r="H4" s="2290"/>
      <c r="I4" s="2290"/>
      <c r="J4" s="2290"/>
      <c r="K4" s="2290"/>
      <c r="L4" s="2290"/>
      <c r="M4" s="2290"/>
      <c r="N4" s="2290"/>
    </row>
    <row r="5" spans="1:24" ht="22.5" customHeight="1">
      <c r="C5" s="2290" t="s">
        <v>652</v>
      </c>
      <c r="D5" s="2290"/>
      <c r="E5" s="2290"/>
      <c r="F5" s="2290"/>
      <c r="G5" s="2290"/>
      <c r="H5" s="2290"/>
      <c r="I5" s="2290"/>
      <c r="J5" s="2290"/>
      <c r="K5" s="2290"/>
      <c r="L5" s="2290"/>
      <c r="M5" s="2290"/>
      <c r="N5" s="2290"/>
    </row>
    <row r="6" spans="1:24" ht="18" customHeight="1">
      <c r="C6" s="2295" t="str">
        <f>"AS OF DECEMBER 31, "&amp;'PSO TCOS'!N2</f>
        <v>AS OF DECEMBER 31, 2024</v>
      </c>
      <c r="D6" s="2295"/>
      <c r="E6" s="2295"/>
      <c r="F6" s="2295"/>
      <c r="G6" s="2295"/>
      <c r="H6" s="2295"/>
      <c r="I6" s="2295"/>
      <c r="J6" s="2295"/>
      <c r="K6" s="2295"/>
      <c r="L6" s="2295"/>
      <c r="M6" s="2295"/>
      <c r="N6" s="2295"/>
    </row>
    <row r="7" spans="1:24">
      <c r="D7" s="12"/>
    </row>
    <row r="8" spans="1:24">
      <c r="D8" s="12"/>
      <c r="J8" s="2294" t="s">
        <v>152</v>
      </c>
      <c r="K8" s="2294"/>
      <c r="L8" s="2294"/>
      <c r="M8" s="2294"/>
      <c r="N8" s="2294"/>
    </row>
    <row r="9" spans="1:24" ht="26">
      <c r="C9" s="774" t="s">
        <v>390</v>
      </c>
      <c r="D9" s="33"/>
      <c r="E9" s="774" t="s">
        <v>153</v>
      </c>
      <c r="G9" s="774" t="s">
        <v>306</v>
      </c>
      <c r="H9" s="775" t="s">
        <v>316</v>
      </c>
      <c r="I9" s="48" t="s">
        <v>84</v>
      </c>
      <c r="J9" s="48" t="s">
        <v>154</v>
      </c>
      <c r="K9" s="48" t="s">
        <v>155</v>
      </c>
      <c r="L9" s="774" t="s">
        <v>156</v>
      </c>
      <c r="M9" s="774" t="s">
        <v>157</v>
      </c>
      <c r="N9" s="774" t="s">
        <v>300</v>
      </c>
    </row>
    <row r="10" spans="1:24">
      <c r="C10" s="1806">
        <v>2821001</v>
      </c>
      <c r="D10" s="776" t="s">
        <v>337</v>
      </c>
      <c r="E10" s="1806">
        <v>2006</v>
      </c>
      <c r="F10" s="778"/>
      <c r="G10" s="777" t="s">
        <v>1673</v>
      </c>
      <c r="H10" s="779">
        <v>1261861</v>
      </c>
      <c r="I10" s="1806" t="s">
        <v>291</v>
      </c>
      <c r="J10" s="781">
        <f t="shared" ref="J10" si="0">IF(I10="e",H10," ")</f>
        <v>1261861</v>
      </c>
      <c r="K10" s="761" t="str">
        <f t="shared" ref="K10:K28" si="1">IF($I10="T",$H10," ")</f>
        <v xml:space="preserve"> </v>
      </c>
      <c r="L10" s="761" t="str">
        <f t="shared" ref="L10:L28" si="2">IF($I10="PTD",$H10," ")</f>
        <v xml:space="preserve"> </v>
      </c>
      <c r="M10" s="781" t="str">
        <f t="shared" ref="M10:M28" si="3">IF($I10="T&amp;D",$H10," ")</f>
        <v xml:space="preserve"> </v>
      </c>
      <c r="N10" s="781" t="str">
        <f t="shared" ref="N10" si="4">IF(I10="Labor",H10," ")</f>
        <v xml:space="preserve"> </v>
      </c>
      <c r="O10" s="761"/>
      <c r="P10"/>
      <c r="Q10"/>
      <c r="R10"/>
      <c r="S10"/>
      <c r="T10"/>
      <c r="U10"/>
      <c r="V10"/>
      <c r="W10"/>
      <c r="X10"/>
    </row>
    <row r="11" spans="1:24">
      <c r="C11" s="1806">
        <v>2821001</v>
      </c>
      <c r="D11" s="776" t="s">
        <v>337</v>
      </c>
      <c r="E11" s="1806">
        <v>2010</v>
      </c>
      <c r="F11" s="778"/>
      <c r="G11" s="777" t="s">
        <v>1674</v>
      </c>
      <c r="H11" s="779">
        <v>-213517724.84</v>
      </c>
      <c r="I11" s="780" t="s">
        <v>1529</v>
      </c>
      <c r="J11" s="780">
        <f>'PSO WS C-4 Excess FIT'!E47</f>
        <v>-163250230.57950938</v>
      </c>
      <c r="K11" s="2214">
        <f>'PSO WS C-4 Excess FIT'!E46</f>
        <v>-50267494.260490611</v>
      </c>
      <c r="L11" s="806"/>
      <c r="M11"/>
      <c r="N11"/>
      <c r="O11" s="761"/>
      <c r="P11"/>
      <c r="Q11"/>
      <c r="R11"/>
      <c r="S11"/>
      <c r="T11"/>
      <c r="U11"/>
      <c r="V11"/>
      <c r="W11"/>
      <c r="X11"/>
    </row>
    <row r="12" spans="1:24">
      <c r="C12" s="1806">
        <v>2821001</v>
      </c>
      <c r="D12" s="776"/>
      <c r="E12" s="1806">
        <v>2011</v>
      </c>
      <c r="F12" s="778"/>
      <c r="G12" s="777" t="s">
        <v>1675</v>
      </c>
      <c r="H12" s="779">
        <v>2.6</v>
      </c>
      <c r="I12" s="780" t="s">
        <v>1529</v>
      </c>
      <c r="J12" s="780">
        <f>'PSO WS C-4 Excess FIT'!F26</f>
        <v>2.6</v>
      </c>
      <c r="K12" s="2214" t="str">
        <f t="shared" si="1"/>
        <v xml:space="preserve"> </v>
      </c>
      <c r="L12" s="761" t="str">
        <f t="shared" si="2"/>
        <v xml:space="preserve"> </v>
      </c>
      <c r="M12"/>
      <c r="N12"/>
      <c r="O12" s="761"/>
      <c r="P12"/>
      <c r="Q12"/>
      <c r="R12"/>
      <c r="S12"/>
      <c r="T12"/>
      <c r="U12"/>
      <c r="V12"/>
      <c r="W12"/>
      <c r="X12"/>
    </row>
    <row r="13" spans="1:24">
      <c r="C13" s="1806">
        <v>2821001</v>
      </c>
      <c r="D13" s="776" t="s">
        <v>337</v>
      </c>
      <c r="E13" s="1806">
        <v>6002</v>
      </c>
      <c r="F13" s="778"/>
      <c r="G13" s="777" t="s">
        <v>1676</v>
      </c>
      <c r="H13" s="779">
        <v>-11007102.18</v>
      </c>
      <c r="I13" s="1806" t="s">
        <v>158</v>
      </c>
      <c r="J13" s="781" t="str">
        <f t="shared" ref="J13:J26" si="5">IF(I13="e",H13," ")</f>
        <v xml:space="preserve"> </v>
      </c>
      <c r="K13" s="761" t="str">
        <f t="shared" si="1"/>
        <v xml:space="preserve"> </v>
      </c>
      <c r="L13" s="761">
        <f t="shared" si="2"/>
        <v>-11007102.18</v>
      </c>
      <c r="M13" s="781" t="str">
        <f t="shared" si="3"/>
        <v xml:space="preserve"> </v>
      </c>
      <c r="N13" s="781" t="str">
        <f t="shared" ref="N13:N26" si="6">IF(I13="Labor",H13," ")</f>
        <v xml:space="preserve"> </v>
      </c>
      <c r="O13" s="761"/>
      <c r="P13"/>
      <c r="Q13"/>
      <c r="R13"/>
    </row>
    <row r="14" spans="1:24">
      <c r="C14" s="1806">
        <v>2821001</v>
      </c>
      <c r="D14" s="776" t="s">
        <v>337</v>
      </c>
      <c r="E14" s="1806">
        <v>6004</v>
      </c>
      <c r="F14" s="778"/>
      <c r="G14" s="777" t="s">
        <v>1677</v>
      </c>
      <c r="H14" s="779">
        <v>-13171381.15</v>
      </c>
      <c r="I14" s="1806" t="s">
        <v>291</v>
      </c>
      <c r="J14" s="781">
        <f t="shared" si="5"/>
        <v>-13171381.15</v>
      </c>
      <c r="K14" s="761" t="str">
        <f t="shared" si="1"/>
        <v xml:space="preserve"> </v>
      </c>
      <c r="L14" s="761" t="str">
        <f t="shared" si="2"/>
        <v xml:space="preserve"> </v>
      </c>
      <c r="M14" s="781" t="str">
        <f t="shared" si="3"/>
        <v xml:space="preserve"> </v>
      </c>
      <c r="N14" s="781" t="str">
        <f t="shared" si="6"/>
        <v xml:space="preserve"> </v>
      </c>
      <c r="O14" s="761"/>
      <c r="P14"/>
      <c r="Q14"/>
      <c r="R14"/>
    </row>
    <row r="15" spans="1:24">
      <c r="C15" s="1806">
        <v>2821001</v>
      </c>
      <c r="D15" s="776"/>
      <c r="E15" s="1806">
        <v>6006</v>
      </c>
      <c r="F15" s="778"/>
      <c r="G15" s="777" t="s">
        <v>1678</v>
      </c>
      <c r="H15" s="779">
        <v>166447.37</v>
      </c>
      <c r="I15" s="1806" t="s">
        <v>158</v>
      </c>
      <c r="J15" s="781" t="str">
        <f t="shared" si="5"/>
        <v xml:space="preserve"> </v>
      </c>
      <c r="K15" s="761" t="str">
        <f t="shared" si="1"/>
        <v xml:space="preserve"> </v>
      </c>
      <c r="L15" s="761">
        <f t="shared" si="2"/>
        <v>166447.37</v>
      </c>
      <c r="M15" s="781" t="str">
        <f t="shared" si="3"/>
        <v xml:space="preserve"> </v>
      </c>
      <c r="N15" s="781" t="str">
        <f t="shared" si="6"/>
        <v xml:space="preserve"> </v>
      </c>
      <c r="O15" s="761"/>
      <c r="P15"/>
      <c r="Q15"/>
      <c r="R15"/>
    </row>
    <row r="16" spans="1:24">
      <c r="C16" s="1806">
        <v>2821001</v>
      </c>
      <c r="D16" s="776"/>
      <c r="E16" s="1806">
        <v>6007</v>
      </c>
      <c r="F16" s="778"/>
      <c r="G16" s="777" t="s">
        <v>1679</v>
      </c>
      <c r="H16" s="779">
        <v>16523158.189999999</v>
      </c>
      <c r="I16" s="1806" t="s">
        <v>291</v>
      </c>
      <c r="J16" s="781">
        <f t="shared" si="5"/>
        <v>16523158.189999999</v>
      </c>
      <c r="K16" s="761" t="str">
        <f t="shared" si="1"/>
        <v xml:space="preserve"> </v>
      </c>
      <c r="L16" s="761" t="str">
        <f t="shared" si="2"/>
        <v xml:space="preserve"> </v>
      </c>
      <c r="M16" s="781" t="str">
        <f t="shared" si="3"/>
        <v xml:space="preserve"> </v>
      </c>
      <c r="N16" s="781" t="str">
        <f t="shared" si="6"/>
        <v xml:space="preserve"> </v>
      </c>
      <c r="O16" s="761"/>
      <c r="P16"/>
      <c r="Q16"/>
      <c r="R16"/>
    </row>
    <row r="17" spans="3:18">
      <c r="C17" s="1806">
        <v>2821001</v>
      </c>
      <c r="D17" s="776"/>
      <c r="E17" s="1806">
        <v>6009</v>
      </c>
      <c r="F17" s="778"/>
      <c r="G17" s="777" t="s">
        <v>1680</v>
      </c>
      <c r="H17" s="779">
        <v>-109560565.2</v>
      </c>
      <c r="I17" s="1806" t="s">
        <v>158</v>
      </c>
      <c r="J17" s="781" t="str">
        <f t="shared" si="5"/>
        <v xml:space="preserve"> </v>
      </c>
      <c r="K17" s="761" t="str">
        <f t="shared" si="1"/>
        <v xml:space="preserve"> </v>
      </c>
      <c r="L17" s="761">
        <f t="shared" si="2"/>
        <v>-109560565.2</v>
      </c>
      <c r="M17" s="781" t="str">
        <f t="shared" si="3"/>
        <v xml:space="preserve"> </v>
      </c>
      <c r="N17" s="781" t="str">
        <f t="shared" si="6"/>
        <v xml:space="preserve"> </v>
      </c>
      <c r="O17" s="761"/>
      <c r="P17"/>
      <c r="Q17"/>
      <c r="R17"/>
    </row>
    <row r="18" spans="3:18">
      <c r="C18" s="1806">
        <v>2821001</v>
      </c>
      <c r="D18" s="776"/>
      <c r="E18" s="1806">
        <v>6011</v>
      </c>
      <c r="F18" s="778"/>
      <c r="G18" s="777" t="s">
        <v>1681</v>
      </c>
      <c r="H18" s="779">
        <v>18527981.75</v>
      </c>
      <c r="I18" s="1806" t="s">
        <v>158</v>
      </c>
      <c r="J18" s="781" t="str">
        <f t="shared" si="5"/>
        <v xml:space="preserve"> </v>
      </c>
      <c r="K18" s="761" t="str">
        <f t="shared" si="1"/>
        <v xml:space="preserve"> </v>
      </c>
      <c r="L18" s="761">
        <f t="shared" si="2"/>
        <v>18527981.75</v>
      </c>
      <c r="M18" s="781" t="str">
        <f t="shared" si="3"/>
        <v xml:space="preserve"> </v>
      </c>
      <c r="N18" s="781" t="str">
        <f t="shared" si="6"/>
        <v xml:space="preserve"> </v>
      </c>
      <c r="O18" s="761"/>
      <c r="P18"/>
      <c r="Q18"/>
      <c r="R18"/>
    </row>
    <row r="19" spans="3:18">
      <c r="C19" s="1806">
        <v>2821001</v>
      </c>
      <c r="D19" s="776" t="s">
        <v>337</v>
      </c>
      <c r="E19" s="1806">
        <v>6018</v>
      </c>
      <c r="F19" s="778"/>
      <c r="G19" s="777" t="s">
        <v>1682</v>
      </c>
      <c r="H19" s="779">
        <v>-548860755.90999997</v>
      </c>
      <c r="I19" s="1806" t="s">
        <v>158</v>
      </c>
      <c r="J19" s="2453">
        <v>-14580362.140930858</v>
      </c>
      <c r="K19" s="761" t="str">
        <f t="shared" si="1"/>
        <v xml:space="preserve"> </v>
      </c>
      <c r="L19" s="2217">
        <f>H19-J19</f>
        <v>-534280393.76906914</v>
      </c>
      <c r="M19" s="781" t="str">
        <f t="shared" si="3"/>
        <v xml:space="preserve"> </v>
      </c>
      <c r="N19" s="781" t="str">
        <f t="shared" si="6"/>
        <v xml:space="preserve"> </v>
      </c>
      <c r="O19" s="761"/>
      <c r="P19"/>
      <c r="Q19"/>
      <c r="R19"/>
    </row>
    <row r="20" spans="3:18">
      <c r="C20" s="1806">
        <v>2821001</v>
      </c>
      <c r="D20" s="776" t="s">
        <v>337</v>
      </c>
      <c r="E20" s="1806">
        <v>6019</v>
      </c>
      <c r="F20" s="778"/>
      <c r="G20" s="777" t="s">
        <v>1683</v>
      </c>
      <c r="H20" s="779">
        <v>-0.84</v>
      </c>
      <c r="I20" s="1806" t="s">
        <v>158</v>
      </c>
      <c r="J20" s="781" t="str">
        <f t="shared" si="5"/>
        <v xml:space="preserve"> </v>
      </c>
      <c r="K20" s="761" t="str">
        <f t="shared" si="1"/>
        <v xml:space="preserve"> </v>
      </c>
      <c r="L20" s="761">
        <f t="shared" si="2"/>
        <v>-0.84</v>
      </c>
      <c r="M20" s="781" t="str">
        <f t="shared" si="3"/>
        <v xml:space="preserve"> </v>
      </c>
      <c r="N20" s="781" t="str">
        <f t="shared" si="6"/>
        <v xml:space="preserve"> </v>
      </c>
      <c r="O20" s="761"/>
      <c r="P20"/>
      <c r="Q20"/>
      <c r="R20"/>
    </row>
    <row r="21" spans="3:18">
      <c r="C21" s="1806">
        <v>2821001</v>
      </c>
      <c r="D21" s="776" t="s">
        <v>337</v>
      </c>
      <c r="E21" s="1806">
        <v>6021</v>
      </c>
      <c r="F21" s="778"/>
      <c r="G21" s="777" t="s">
        <v>1684</v>
      </c>
      <c r="H21" s="779">
        <v>-2232364.4700000002</v>
      </c>
      <c r="I21" s="1806" t="s">
        <v>291</v>
      </c>
      <c r="J21" s="781">
        <f t="shared" si="5"/>
        <v>-2232364.4700000002</v>
      </c>
      <c r="K21" s="761" t="str">
        <f t="shared" si="1"/>
        <v xml:space="preserve"> </v>
      </c>
      <c r="L21" s="761" t="str">
        <f t="shared" si="2"/>
        <v xml:space="preserve"> </v>
      </c>
      <c r="M21" s="781" t="str">
        <f t="shared" si="3"/>
        <v xml:space="preserve"> </v>
      </c>
      <c r="N21" s="781" t="str">
        <f t="shared" si="6"/>
        <v xml:space="preserve"> </v>
      </c>
      <c r="O21" s="761"/>
      <c r="P21"/>
      <c r="Q21"/>
      <c r="R21"/>
    </row>
    <row r="22" spans="3:18">
      <c r="C22" s="1806">
        <v>2821001</v>
      </c>
      <c r="D22" s="776" t="s">
        <v>337</v>
      </c>
      <c r="E22" s="1806">
        <v>6022</v>
      </c>
      <c r="F22" s="778"/>
      <c r="G22" s="777" t="s">
        <v>1685</v>
      </c>
      <c r="H22" s="779">
        <v>-19955922.640000001</v>
      </c>
      <c r="I22" s="1806" t="s">
        <v>158</v>
      </c>
      <c r="J22" s="781" t="str">
        <f t="shared" si="5"/>
        <v xml:space="preserve"> </v>
      </c>
      <c r="K22" s="761" t="str">
        <f t="shared" si="1"/>
        <v xml:space="preserve"> </v>
      </c>
      <c r="L22" s="761">
        <f t="shared" si="2"/>
        <v>-19955922.640000001</v>
      </c>
      <c r="M22" s="781" t="str">
        <f t="shared" si="3"/>
        <v xml:space="preserve"> </v>
      </c>
      <c r="N22" s="781" t="str">
        <f t="shared" si="6"/>
        <v xml:space="preserve"> </v>
      </c>
      <c r="O22" s="761"/>
      <c r="P22"/>
      <c r="Q22"/>
      <c r="R22"/>
    </row>
    <row r="23" spans="3:18">
      <c r="C23" s="1806">
        <v>2821001</v>
      </c>
      <c r="D23" s="776" t="s">
        <v>337</v>
      </c>
      <c r="E23" s="1806">
        <v>6024</v>
      </c>
      <c r="F23" s="778"/>
      <c r="G23" s="777" t="s">
        <v>1686</v>
      </c>
      <c r="H23" s="779">
        <v>-218860098.21000001</v>
      </c>
      <c r="I23" s="1806" t="s">
        <v>158</v>
      </c>
      <c r="J23" s="781" t="str">
        <f t="shared" si="5"/>
        <v xml:space="preserve"> </v>
      </c>
      <c r="K23" s="761" t="str">
        <f t="shared" si="1"/>
        <v xml:space="preserve"> </v>
      </c>
      <c r="L23" s="761">
        <f t="shared" si="2"/>
        <v>-218860098.21000001</v>
      </c>
      <c r="M23" s="781" t="str">
        <f t="shared" si="3"/>
        <v xml:space="preserve"> </v>
      </c>
      <c r="N23" s="781" t="str">
        <f t="shared" si="6"/>
        <v xml:space="preserve"> </v>
      </c>
      <c r="O23" s="761"/>
      <c r="P23"/>
      <c r="Q23"/>
      <c r="R23"/>
    </row>
    <row r="24" spans="3:18">
      <c r="C24" s="1806">
        <v>2821001</v>
      </c>
      <c r="D24" s="776" t="s">
        <v>337</v>
      </c>
      <c r="E24" s="1806">
        <v>6026</v>
      </c>
      <c r="F24" s="778"/>
      <c r="G24" s="777" t="s">
        <v>1687</v>
      </c>
      <c r="H24" s="779">
        <v>23264.240000000002</v>
      </c>
      <c r="I24" s="1806" t="s">
        <v>300</v>
      </c>
      <c r="J24" s="781" t="str">
        <f t="shared" si="5"/>
        <v xml:space="preserve"> </v>
      </c>
      <c r="K24" s="761" t="str">
        <f t="shared" si="1"/>
        <v xml:space="preserve"> </v>
      </c>
      <c r="L24" s="761" t="str">
        <f t="shared" si="2"/>
        <v xml:space="preserve"> </v>
      </c>
      <c r="M24" s="781" t="str">
        <f t="shared" si="3"/>
        <v xml:space="preserve"> </v>
      </c>
      <c r="N24" s="781">
        <f t="shared" si="6"/>
        <v>23264.240000000002</v>
      </c>
      <c r="O24" s="761"/>
      <c r="P24"/>
      <c r="Q24"/>
      <c r="R24"/>
    </row>
    <row r="25" spans="3:18">
      <c r="C25" s="1806">
        <v>2821001</v>
      </c>
      <c r="D25" s="776" t="s">
        <v>337</v>
      </c>
      <c r="E25" s="1806">
        <v>6523</v>
      </c>
      <c r="F25" s="778"/>
      <c r="G25" s="777" t="s">
        <v>1689</v>
      </c>
      <c r="H25" s="779">
        <v>7902341.79</v>
      </c>
      <c r="I25" s="1806" t="s">
        <v>300</v>
      </c>
      <c r="J25" s="781" t="str">
        <f t="shared" si="5"/>
        <v xml:space="preserve"> </v>
      </c>
      <c r="K25" s="761" t="str">
        <f t="shared" si="1"/>
        <v xml:space="preserve"> </v>
      </c>
      <c r="L25" s="761" t="str">
        <f t="shared" si="2"/>
        <v xml:space="preserve"> </v>
      </c>
      <c r="M25" s="781" t="str">
        <f t="shared" si="3"/>
        <v xml:space="preserve"> </v>
      </c>
      <c r="N25" s="781">
        <f t="shared" si="6"/>
        <v>7902341.79</v>
      </c>
      <c r="O25" s="761"/>
      <c r="P25"/>
      <c r="Q25"/>
      <c r="R25"/>
    </row>
    <row r="26" spans="3:18">
      <c r="C26" s="1806">
        <v>2821001</v>
      </c>
      <c r="D26" s="776" t="s">
        <v>337</v>
      </c>
      <c r="E26" s="1806">
        <v>7585</v>
      </c>
      <c r="F26" s="778"/>
      <c r="G26" s="777" t="s">
        <v>1690</v>
      </c>
      <c r="H26" s="779">
        <v>-22293501.829999998</v>
      </c>
      <c r="I26" s="1806" t="s">
        <v>291</v>
      </c>
      <c r="J26" s="781">
        <f t="shared" si="5"/>
        <v>-22293501.829999998</v>
      </c>
      <c r="K26" s="761" t="str">
        <f t="shared" si="1"/>
        <v xml:space="preserve"> </v>
      </c>
      <c r="L26" s="761" t="str">
        <f t="shared" si="2"/>
        <v xml:space="preserve"> </v>
      </c>
      <c r="M26" s="781" t="str">
        <f t="shared" si="3"/>
        <v xml:space="preserve"> </v>
      </c>
      <c r="N26" s="781" t="str">
        <f t="shared" si="6"/>
        <v xml:space="preserve"> </v>
      </c>
      <c r="O26" s="761"/>
      <c r="P26"/>
      <c r="Q26"/>
      <c r="R26"/>
    </row>
    <row r="27" spans="3:18">
      <c r="C27" s="1806">
        <v>2821001</v>
      </c>
      <c r="D27" s="783"/>
      <c r="E27" s="784" t="s">
        <v>1269</v>
      </c>
      <c r="G27" s="777" t="s">
        <v>1285</v>
      </c>
      <c r="H27" s="779">
        <v>12682668.708863869</v>
      </c>
      <c r="I27" s="789" t="s">
        <v>1286</v>
      </c>
      <c r="J27" s="779">
        <f>H27-K27</f>
        <v>0</v>
      </c>
      <c r="K27" s="779">
        <v>12682668.708863869</v>
      </c>
      <c r="L27" s="761" t="str">
        <f t="shared" si="2"/>
        <v xml:space="preserve"> </v>
      </c>
      <c r="M27" s="781" t="str">
        <f t="shared" si="3"/>
        <v xml:space="preserve"> </v>
      </c>
      <c r="O27"/>
      <c r="P27"/>
      <c r="Q27"/>
      <c r="R27"/>
    </row>
    <row r="28" spans="3:18">
      <c r="C28" s="1806">
        <v>2821001</v>
      </c>
      <c r="D28" s="788"/>
      <c r="E28" s="784" t="s">
        <v>1269</v>
      </c>
      <c r="G28" s="787" t="s">
        <v>1285</v>
      </c>
      <c r="H28" s="779">
        <f>-H27</f>
        <v>-12682668.708863869</v>
      </c>
      <c r="I28" s="789" t="s">
        <v>291</v>
      </c>
      <c r="J28" s="779">
        <f t="shared" ref="J28" si="7">IF(I28="e",H28," ")</f>
        <v>-12682668.708863869</v>
      </c>
      <c r="K28" s="761" t="str">
        <f t="shared" si="1"/>
        <v xml:space="preserve"> </v>
      </c>
      <c r="L28" s="761" t="str">
        <f t="shared" si="2"/>
        <v xml:space="preserve"> </v>
      </c>
      <c r="M28" s="781" t="str">
        <f t="shared" si="3"/>
        <v xml:space="preserve"> </v>
      </c>
      <c r="O28"/>
      <c r="P28"/>
    </row>
    <row r="29" spans="3:18" ht="13">
      <c r="C29" s="33">
        <v>282.10000000000002</v>
      </c>
      <c r="D29" s="12"/>
      <c r="G29" s="561" t="s">
        <v>159</v>
      </c>
      <c r="H29" s="790">
        <f>SUM(H10:H28)</f>
        <v>-1115054360.3299999</v>
      </c>
      <c r="I29" s="761"/>
      <c r="J29" s="790">
        <f>SUM(J10:J28)</f>
        <v>-210425487.08930409</v>
      </c>
      <c r="K29" s="790">
        <f>SUM(K10:K28)</f>
        <v>-37584825.551626742</v>
      </c>
      <c r="L29" s="790">
        <f>SUM(L10:L28)</f>
        <v>-874969653.71906924</v>
      </c>
      <c r="M29" s="790">
        <f>SUM(M10:M28)</f>
        <v>0</v>
      </c>
      <c r="N29" s="790">
        <f>SUM(N10:N28)</f>
        <v>7925606.0300000003</v>
      </c>
      <c r="O29" s="782">
        <f>SUM(J29:N29)</f>
        <v>-1115054360.3300002</v>
      </c>
      <c r="P29" s="761">
        <f>O29-H29</f>
        <v>0</v>
      </c>
    </row>
    <row r="30" spans="3:18" ht="25">
      <c r="G30" s="791" t="s">
        <v>169</v>
      </c>
      <c r="H30" s="786">
        <v>-1115054360</v>
      </c>
      <c r="I30"/>
      <c r="J30" s="792"/>
      <c r="K30" s="761"/>
      <c r="L30" s="761"/>
      <c r="M30" s="761"/>
      <c r="N30" s="761"/>
    </row>
    <row r="31" spans="3:18">
      <c r="H31" s="793"/>
      <c r="I31" s="761"/>
      <c r="J31" s="761"/>
      <c r="K31" s="761"/>
      <c r="L31" s="761"/>
      <c r="M31" s="761"/>
      <c r="N31" s="761"/>
    </row>
    <row r="32" spans="3:18">
      <c r="H32" s="793"/>
      <c r="I32" s="761"/>
      <c r="J32" s="761"/>
      <c r="K32" s="761"/>
      <c r="L32" s="761"/>
      <c r="M32" s="761"/>
      <c r="N32" s="761"/>
    </row>
    <row r="33" spans="3:16">
      <c r="C33" s="1806">
        <v>2831001</v>
      </c>
      <c r="D33" s="794" t="s">
        <v>337</v>
      </c>
      <c r="E33" s="1806">
        <v>2003</v>
      </c>
      <c r="F33" s="778"/>
      <c r="G33" s="777" t="s">
        <v>1693</v>
      </c>
      <c r="H33" s="779">
        <v>9313393.1400000006</v>
      </c>
      <c r="I33" s="780" t="s">
        <v>158</v>
      </c>
      <c r="J33" s="781" t="str">
        <f t="shared" ref="J33" si="8">IF(I33="e",H33," ")</f>
        <v xml:space="preserve"> </v>
      </c>
      <c r="K33" s="761" t="str">
        <f t="shared" ref="K33:K146" si="9">IF($I33="T",$H33," ")</f>
        <v xml:space="preserve"> </v>
      </c>
      <c r="L33" s="761">
        <f t="shared" ref="L33:L146" si="10">IF($I33="PTD",$H33," ")</f>
        <v>9313393.1400000006</v>
      </c>
      <c r="M33" s="781" t="str">
        <f t="shared" ref="M33:M146" si="11">IF($I33="T&amp;D",$H33," ")</f>
        <v xml:space="preserve"> </v>
      </c>
      <c r="N33" s="781" t="str">
        <f t="shared" ref="N33" si="12">IF(I33="Labor",H33," ")</f>
        <v xml:space="preserve"> </v>
      </c>
      <c r="O33" s="761"/>
    </row>
    <row r="34" spans="3:16">
      <c r="C34" s="1806">
        <v>2831001</v>
      </c>
      <c r="D34" s="794" t="s">
        <v>337</v>
      </c>
      <c r="E34" s="1806">
        <v>2007</v>
      </c>
      <c r="F34" s="778"/>
      <c r="G34" s="777" t="s">
        <v>1694</v>
      </c>
      <c r="H34" s="779">
        <v>-592638</v>
      </c>
      <c r="I34" s="780" t="s">
        <v>291</v>
      </c>
      <c r="J34" s="781">
        <f t="shared" ref="J34:J68" si="13">IF(I34="e",H34," ")</f>
        <v>-592638</v>
      </c>
      <c r="K34" s="761" t="str">
        <f t="shared" si="9"/>
        <v xml:space="preserve"> </v>
      </c>
      <c r="L34" s="761" t="str">
        <f t="shared" si="10"/>
        <v xml:space="preserve"> </v>
      </c>
      <c r="M34" s="781" t="str">
        <f t="shared" si="11"/>
        <v xml:space="preserve"> </v>
      </c>
      <c r="N34" s="781" t="str">
        <f t="shared" ref="N34:N68" si="14">IF(I34="Labor",H34," ")</f>
        <v xml:space="preserve"> </v>
      </c>
      <c r="O34" s="761"/>
    </row>
    <row r="35" spans="3:16">
      <c r="C35" s="1806">
        <v>2831001</v>
      </c>
      <c r="D35" s="794" t="s">
        <v>337</v>
      </c>
      <c r="E35" s="1806">
        <v>2008</v>
      </c>
      <c r="F35" s="778"/>
      <c r="G35" s="777" t="s">
        <v>1695</v>
      </c>
      <c r="H35" s="779">
        <v>-336561.23</v>
      </c>
      <c r="I35" s="780" t="s">
        <v>291</v>
      </c>
      <c r="J35" s="781">
        <f t="shared" si="13"/>
        <v>-336561.23</v>
      </c>
      <c r="K35" s="761" t="str">
        <f t="shared" si="9"/>
        <v xml:space="preserve"> </v>
      </c>
      <c r="L35" s="761" t="str">
        <f t="shared" si="10"/>
        <v xml:space="preserve"> </v>
      </c>
      <c r="M35" s="781" t="str">
        <f t="shared" si="11"/>
        <v xml:space="preserve"> </v>
      </c>
      <c r="N35" s="781" t="str">
        <f t="shared" si="14"/>
        <v xml:space="preserve"> </v>
      </c>
      <c r="O35" s="761"/>
    </row>
    <row r="36" spans="3:16">
      <c r="C36" s="1806">
        <v>2831001</v>
      </c>
      <c r="D36" s="794"/>
      <c r="E36" s="1806">
        <v>2012</v>
      </c>
      <c r="F36" s="778"/>
      <c r="G36" s="777" t="s">
        <v>1696</v>
      </c>
      <c r="H36" s="779">
        <v>-0.87</v>
      </c>
      <c r="I36" s="780" t="s">
        <v>1529</v>
      </c>
      <c r="J36" s="781">
        <f>'PSO WS C-4 Excess FIT'!G28</f>
        <v>-0.87</v>
      </c>
      <c r="K36" s="761" t="str">
        <f t="shared" si="9"/>
        <v xml:space="preserve"> </v>
      </c>
      <c r="L36" s="761" t="str">
        <f t="shared" si="10"/>
        <v xml:space="preserve"> </v>
      </c>
      <c r="M36" s="781" t="str">
        <f t="shared" si="11"/>
        <v xml:space="preserve"> </v>
      </c>
      <c r="N36" s="781" t="str">
        <f t="shared" si="14"/>
        <v xml:space="preserve"> </v>
      </c>
      <c r="O36" s="761"/>
    </row>
    <row r="37" spans="3:16">
      <c r="C37" s="1806">
        <v>2831001</v>
      </c>
      <c r="D37" s="794"/>
      <c r="E37" s="1806">
        <v>3509</v>
      </c>
      <c r="F37" s="778"/>
      <c r="G37" s="777" t="s">
        <v>1697</v>
      </c>
      <c r="H37" s="779">
        <v>-8439304.5600000005</v>
      </c>
      <c r="I37" s="780" t="s">
        <v>291</v>
      </c>
      <c r="J37" s="781">
        <f t="shared" si="13"/>
        <v>-8439304.5600000005</v>
      </c>
      <c r="K37" s="761" t="str">
        <f t="shared" si="9"/>
        <v xml:space="preserve"> </v>
      </c>
      <c r="L37" s="761" t="str">
        <f t="shared" si="10"/>
        <v xml:space="preserve"> </v>
      </c>
      <c r="M37" s="781" t="str">
        <f t="shared" si="11"/>
        <v xml:space="preserve"> </v>
      </c>
      <c r="N37" s="781" t="str">
        <f t="shared" si="14"/>
        <v xml:space="preserve"> </v>
      </c>
      <c r="O37" s="761"/>
    </row>
    <row r="38" spans="3:16">
      <c r="C38" s="1806">
        <v>2831001</v>
      </c>
      <c r="D38" s="794" t="s">
        <v>337</v>
      </c>
      <c r="E38" s="1806">
        <v>4031</v>
      </c>
      <c r="F38" s="778"/>
      <c r="G38" s="777" t="s">
        <v>1698</v>
      </c>
      <c r="H38" s="779">
        <v>-7386028.6900000004</v>
      </c>
      <c r="I38" s="780" t="s">
        <v>291</v>
      </c>
      <c r="J38" s="781">
        <f t="shared" si="13"/>
        <v>-7386028.6900000004</v>
      </c>
      <c r="K38" s="761" t="str">
        <f t="shared" si="9"/>
        <v xml:space="preserve"> </v>
      </c>
      <c r="L38" s="761" t="str">
        <f t="shared" si="10"/>
        <v xml:space="preserve"> </v>
      </c>
      <c r="M38" s="781" t="str">
        <f t="shared" si="11"/>
        <v xml:space="preserve"> </v>
      </c>
      <c r="N38" s="781" t="str">
        <f t="shared" si="14"/>
        <v xml:space="preserve"> </v>
      </c>
      <c r="O38" s="761"/>
    </row>
    <row r="39" spans="3:16">
      <c r="C39" s="1806">
        <v>2831001</v>
      </c>
      <c r="D39" s="794" t="s">
        <v>337</v>
      </c>
      <c r="E39" s="1806">
        <v>7026</v>
      </c>
      <c r="F39" s="778"/>
      <c r="G39" s="777" t="s">
        <v>1699</v>
      </c>
      <c r="H39" s="779">
        <v>766923.23</v>
      </c>
      <c r="I39" s="780" t="s">
        <v>291</v>
      </c>
      <c r="J39" s="781">
        <f t="shared" si="13"/>
        <v>766923.23</v>
      </c>
      <c r="K39" s="761" t="str">
        <f t="shared" si="9"/>
        <v xml:space="preserve"> </v>
      </c>
      <c r="L39" s="761" t="str">
        <f t="shared" si="10"/>
        <v xml:space="preserve"> </v>
      </c>
      <c r="M39" s="781" t="str">
        <f t="shared" si="11"/>
        <v xml:space="preserve"> </v>
      </c>
      <c r="N39" s="781" t="str">
        <f t="shared" si="14"/>
        <v xml:space="preserve"> </v>
      </c>
      <c r="O39" s="761"/>
    </row>
    <row r="40" spans="3:16">
      <c r="C40" s="1806">
        <v>2831001</v>
      </c>
      <c r="D40" s="794" t="s">
        <v>337</v>
      </c>
      <c r="E40" s="1806">
        <v>7032</v>
      </c>
      <c r="F40" s="778"/>
      <c r="G40" s="777" t="s">
        <v>1700</v>
      </c>
      <c r="H40" s="779">
        <v>-12970133.050000001</v>
      </c>
      <c r="I40" s="780" t="s">
        <v>300</v>
      </c>
      <c r="J40" s="781" t="str">
        <f t="shared" si="13"/>
        <v xml:space="preserve"> </v>
      </c>
      <c r="K40" s="761" t="str">
        <f t="shared" si="9"/>
        <v xml:space="preserve"> </v>
      </c>
      <c r="L40" s="761" t="str">
        <f t="shared" si="10"/>
        <v xml:space="preserve"> </v>
      </c>
      <c r="M40" s="781" t="str">
        <f t="shared" si="11"/>
        <v xml:space="preserve"> </v>
      </c>
      <c r="N40" s="781">
        <f t="shared" si="14"/>
        <v>-12970133.050000001</v>
      </c>
      <c r="O40" s="761"/>
    </row>
    <row r="41" spans="3:16">
      <c r="C41" s="1806">
        <v>2831001</v>
      </c>
      <c r="D41" s="794"/>
      <c r="E41" s="1806">
        <v>7033</v>
      </c>
      <c r="F41" s="778"/>
      <c r="G41" s="777" t="s">
        <v>1701</v>
      </c>
      <c r="H41" s="779">
        <v>11246565.960000001</v>
      </c>
      <c r="I41" s="780" t="s">
        <v>291</v>
      </c>
      <c r="J41" s="781">
        <f t="shared" si="13"/>
        <v>11246565.960000001</v>
      </c>
      <c r="K41" s="761" t="str">
        <f t="shared" si="9"/>
        <v xml:space="preserve"> </v>
      </c>
      <c r="L41" s="761" t="str">
        <f t="shared" si="10"/>
        <v xml:space="preserve"> </v>
      </c>
      <c r="M41" s="781" t="str">
        <f t="shared" si="11"/>
        <v xml:space="preserve"> </v>
      </c>
      <c r="N41" s="781" t="str">
        <f t="shared" si="14"/>
        <v xml:space="preserve"> </v>
      </c>
      <c r="O41" s="761"/>
    </row>
    <row r="42" spans="3:16">
      <c r="C42" s="1806">
        <v>2831001</v>
      </c>
      <c r="D42" s="794"/>
      <c r="E42" s="1806">
        <v>7085</v>
      </c>
      <c r="F42" s="778"/>
      <c r="G42" s="777" t="s">
        <v>1702</v>
      </c>
      <c r="H42" s="779">
        <v>-23439976.43</v>
      </c>
      <c r="I42" s="780" t="s">
        <v>158</v>
      </c>
      <c r="J42" s="781" t="str">
        <f t="shared" si="13"/>
        <v xml:space="preserve"> </v>
      </c>
      <c r="K42" s="761" t="str">
        <f t="shared" si="9"/>
        <v xml:space="preserve"> </v>
      </c>
      <c r="L42" s="761">
        <f t="shared" si="10"/>
        <v>-23439976.43</v>
      </c>
      <c r="M42" s="781" t="str">
        <f t="shared" si="11"/>
        <v xml:space="preserve"> </v>
      </c>
      <c r="N42" s="781" t="str">
        <f t="shared" si="14"/>
        <v xml:space="preserve"> </v>
      </c>
      <c r="O42" s="761"/>
    </row>
    <row r="43" spans="3:16">
      <c r="C43" s="1806">
        <v>2831001</v>
      </c>
      <c r="D43" s="794"/>
      <c r="E43" s="1806">
        <v>7086</v>
      </c>
      <c r="F43" s="778"/>
      <c r="G43" s="777" t="s">
        <v>1703</v>
      </c>
      <c r="H43" s="779">
        <v>-32139.72</v>
      </c>
      <c r="I43" s="780" t="s">
        <v>291</v>
      </c>
      <c r="J43" s="781">
        <f t="shared" si="13"/>
        <v>-32139.72</v>
      </c>
      <c r="K43" s="761" t="str">
        <f t="shared" si="9"/>
        <v xml:space="preserve"> </v>
      </c>
      <c r="L43" s="761" t="str">
        <f t="shared" si="10"/>
        <v xml:space="preserve"> </v>
      </c>
      <c r="M43" s="781" t="str">
        <f t="shared" si="11"/>
        <v xml:space="preserve"> </v>
      </c>
      <c r="N43" s="781" t="str">
        <f t="shared" si="14"/>
        <v xml:space="preserve"> </v>
      </c>
      <c r="O43" s="761"/>
    </row>
    <row r="44" spans="3:16">
      <c r="C44" s="1806">
        <v>2831001</v>
      </c>
      <c r="D44" s="794" t="s">
        <v>337</v>
      </c>
      <c r="E44" s="1806">
        <v>7103</v>
      </c>
      <c r="F44" s="778"/>
      <c r="G44" s="777" t="s">
        <v>1704</v>
      </c>
      <c r="H44" s="779">
        <v>-56425.08</v>
      </c>
      <c r="I44" s="780" t="s">
        <v>291</v>
      </c>
      <c r="J44" s="781">
        <f t="shared" si="13"/>
        <v>-56425.08</v>
      </c>
      <c r="K44" s="761" t="str">
        <f t="shared" si="9"/>
        <v xml:space="preserve"> </v>
      </c>
      <c r="L44" s="761" t="str">
        <f t="shared" si="10"/>
        <v xml:space="preserve"> </v>
      </c>
      <c r="M44" s="781" t="str">
        <f t="shared" si="11"/>
        <v xml:space="preserve"> </v>
      </c>
      <c r="N44" s="781" t="str">
        <f t="shared" si="14"/>
        <v xml:space="preserve"> </v>
      </c>
      <c r="O44" s="761"/>
    </row>
    <row r="45" spans="3:16">
      <c r="C45" s="1806">
        <v>2831001</v>
      </c>
      <c r="D45" s="794" t="s">
        <v>337</v>
      </c>
      <c r="E45" s="1806">
        <v>7137</v>
      </c>
      <c r="F45" s="778"/>
      <c r="G45" s="777" t="s">
        <v>1705</v>
      </c>
      <c r="H45" s="779">
        <v>-11246565.960000001</v>
      </c>
      <c r="I45" s="780" t="s">
        <v>291</v>
      </c>
      <c r="J45" s="781">
        <f t="shared" si="13"/>
        <v>-11246565.960000001</v>
      </c>
      <c r="K45" s="761" t="str">
        <f t="shared" si="9"/>
        <v xml:space="preserve"> </v>
      </c>
      <c r="L45" s="761" t="str">
        <f t="shared" si="10"/>
        <v xml:space="preserve"> </v>
      </c>
      <c r="M45" s="781" t="str">
        <f t="shared" si="11"/>
        <v xml:space="preserve"> </v>
      </c>
      <c r="N45" s="781" t="str">
        <f t="shared" si="14"/>
        <v xml:space="preserve"> </v>
      </c>
      <c r="O45" s="761"/>
    </row>
    <row r="46" spans="3:16">
      <c r="C46" s="1806">
        <v>2831001</v>
      </c>
      <c r="D46" s="794" t="s">
        <v>337</v>
      </c>
      <c r="E46" s="1806">
        <v>7138</v>
      </c>
      <c r="F46" s="778"/>
      <c r="G46" s="777" t="s">
        <v>1706</v>
      </c>
      <c r="H46" s="779">
        <v>-42431.34</v>
      </c>
      <c r="I46" s="780" t="s">
        <v>291</v>
      </c>
      <c r="J46" s="781">
        <f t="shared" si="13"/>
        <v>-42431.34</v>
      </c>
      <c r="K46" s="761" t="str">
        <f t="shared" si="9"/>
        <v xml:space="preserve"> </v>
      </c>
      <c r="L46" s="761" t="str">
        <f t="shared" si="10"/>
        <v xml:space="preserve"> </v>
      </c>
      <c r="M46" s="781" t="str">
        <f t="shared" si="11"/>
        <v xml:space="preserve"> </v>
      </c>
      <c r="N46" s="781" t="str">
        <f t="shared" si="14"/>
        <v xml:space="preserve"> </v>
      </c>
      <c r="O46" s="761"/>
    </row>
    <row r="47" spans="3:16">
      <c r="C47" s="1806">
        <v>2831001</v>
      </c>
      <c r="D47" s="794"/>
      <c r="E47" s="1806">
        <v>7139</v>
      </c>
      <c r="F47" s="778"/>
      <c r="G47" s="777" t="s">
        <v>1707</v>
      </c>
      <c r="H47" s="779">
        <v>-809122.44</v>
      </c>
      <c r="I47" s="780" t="s">
        <v>291</v>
      </c>
      <c r="J47" s="781">
        <f t="shared" si="13"/>
        <v>-809122.44</v>
      </c>
      <c r="K47" s="761" t="str">
        <f t="shared" si="9"/>
        <v xml:space="preserve"> </v>
      </c>
      <c r="L47" s="761" t="str">
        <f t="shared" si="10"/>
        <v xml:space="preserve"> </v>
      </c>
      <c r="M47" s="781" t="str">
        <f t="shared" si="11"/>
        <v xml:space="preserve"> </v>
      </c>
      <c r="N47" s="781" t="str">
        <f t="shared" si="14"/>
        <v xml:space="preserve"> </v>
      </c>
      <c r="O47" s="761"/>
    </row>
    <row r="48" spans="3:16" s="797" customFormat="1">
      <c r="C48" s="1806">
        <v>2831001</v>
      </c>
      <c r="D48" s="796" t="s">
        <v>337</v>
      </c>
      <c r="E48" s="1806">
        <v>7141</v>
      </c>
      <c r="G48" s="777" t="s">
        <v>1708</v>
      </c>
      <c r="H48" s="779">
        <v>-1521328.22</v>
      </c>
      <c r="I48" s="780" t="s">
        <v>291</v>
      </c>
      <c r="J48" s="781">
        <f>IF(I48="e",H48," ")</f>
        <v>-1521328.22</v>
      </c>
      <c r="K48" s="761" t="str">
        <f>IF($I48="T",$H48," ")</f>
        <v xml:space="preserve"> </v>
      </c>
      <c r="L48" s="761" t="str">
        <f>IF($I48="PTD",$H48," ")</f>
        <v xml:space="preserve"> </v>
      </c>
      <c r="M48" s="781" t="str">
        <f>IF($I48="T&amp;D",$H48," ")</f>
        <v xml:space="preserve"> </v>
      </c>
      <c r="N48" s="781" t="str">
        <f>IF(I48="Labor",H48," ")</f>
        <v xml:space="preserve"> </v>
      </c>
      <c r="O48" s="761"/>
      <c r="P48" s="12"/>
    </row>
    <row r="49" spans="3:15">
      <c r="C49" s="1806">
        <v>2831001</v>
      </c>
      <c r="D49" s="794" t="s">
        <v>337</v>
      </c>
      <c r="E49" s="1806">
        <v>7175</v>
      </c>
      <c r="F49" s="778"/>
      <c r="G49" s="777" t="s">
        <v>1709</v>
      </c>
      <c r="H49" s="779">
        <v>-13967511.16</v>
      </c>
      <c r="I49" s="780" t="s">
        <v>291</v>
      </c>
      <c r="J49" s="781">
        <f t="shared" si="13"/>
        <v>-13967511.16</v>
      </c>
      <c r="K49" s="761" t="str">
        <f t="shared" si="9"/>
        <v xml:space="preserve"> </v>
      </c>
      <c r="L49" s="761" t="str">
        <f t="shared" si="10"/>
        <v xml:space="preserve"> </v>
      </c>
      <c r="M49" s="781" t="str">
        <f t="shared" si="11"/>
        <v xml:space="preserve"> </v>
      </c>
      <c r="N49" s="781" t="str">
        <f t="shared" si="14"/>
        <v xml:space="preserve"> </v>
      </c>
      <c r="O49" s="761"/>
    </row>
    <row r="50" spans="3:15">
      <c r="C50" s="1806">
        <v>2831001</v>
      </c>
      <c r="D50" s="794" t="s">
        <v>337</v>
      </c>
      <c r="E50" s="1806">
        <v>7176</v>
      </c>
      <c r="F50" s="778"/>
      <c r="G50" s="777" t="s">
        <v>1710</v>
      </c>
      <c r="H50" s="779">
        <v>11854316.92</v>
      </c>
      <c r="I50" s="780" t="s">
        <v>291</v>
      </c>
      <c r="J50" s="781">
        <f t="shared" si="13"/>
        <v>11854316.92</v>
      </c>
      <c r="K50" s="761" t="str">
        <f t="shared" si="9"/>
        <v xml:space="preserve"> </v>
      </c>
      <c r="L50" s="761" t="str">
        <f t="shared" si="10"/>
        <v xml:space="preserve"> </v>
      </c>
      <c r="M50" s="781" t="str">
        <f t="shared" si="11"/>
        <v xml:space="preserve"> </v>
      </c>
      <c r="N50" s="781" t="str">
        <f t="shared" si="14"/>
        <v xml:space="preserve"> </v>
      </c>
      <c r="O50" s="761"/>
    </row>
    <row r="51" spans="3:15">
      <c r="C51" s="1806">
        <v>2831001</v>
      </c>
      <c r="D51" s="794" t="s">
        <v>337</v>
      </c>
      <c r="E51" s="1806">
        <v>7202</v>
      </c>
      <c r="F51" s="778"/>
      <c r="G51" s="777" t="s">
        <v>1758</v>
      </c>
      <c r="H51" s="779">
        <v>-1222185.3700000001</v>
      </c>
      <c r="I51" s="780" t="s">
        <v>291</v>
      </c>
      <c r="J51" s="781">
        <f t="shared" si="13"/>
        <v>-1222185.3700000001</v>
      </c>
      <c r="K51" s="761" t="str">
        <f t="shared" si="9"/>
        <v xml:space="preserve"> </v>
      </c>
      <c r="L51" s="761" t="str">
        <f t="shared" si="10"/>
        <v xml:space="preserve"> </v>
      </c>
      <c r="M51" s="781" t="str">
        <f t="shared" si="11"/>
        <v xml:space="preserve"> </v>
      </c>
      <c r="N51" s="781" t="str">
        <f t="shared" si="14"/>
        <v xml:space="preserve"> </v>
      </c>
      <c r="O51" s="761"/>
    </row>
    <row r="52" spans="3:15">
      <c r="C52" s="1806">
        <v>2831001</v>
      </c>
      <c r="D52" s="794" t="s">
        <v>337</v>
      </c>
      <c r="E52" s="1806">
        <v>7378</v>
      </c>
      <c r="F52" s="778"/>
      <c r="G52" s="777" t="s">
        <v>1711</v>
      </c>
      <c r="H52" s="779">
        <v>-6818490.6799999997</v>
      </c>
      <c r="I52" s="780" t="s">
        <v>291</v>
      </c>
      <c r="J52" s="781">
        <f t="shared" si="13"/>
        <v>-6818490.6799999997</v>
      </c>
      <c r="K52" s="761" t="str">
        <f t="shared" si="9"/>
        <v xml:space="preserve"> </v>
      </c>
      <c r="L52" s="761" t="str">
        <f t="shared" si="10"/>
        <v xml:space="preserve"> </v>
      </c>
      <c r="M52" s="781" t="str">
        <f t="shared" si="11"/>
        <v xml:space="preserve"> </v>
      </c>
      <c r="N52" s="781" t="str">
        <f t="shared" si="14"/>
        <v xml:space="preserve"> </v>
      </c>
      <c r="O52" s="761"/>
    </row>
    <row r="53" spans="3:15">
      <c r="C53" s="1806">
        <v>2831001</v>
      </c>
      <c r="D53" s="794" t="s">
        <v>337</v>
      </c>
      <c r="E53" s="1806">
        <v>7379</v>
      </c>
      <c r="F53" s="778"/>
      <c r="G53" s="777" t="s">
        <v>1712</v>
      </c>
      <c r="H53" s="779">
        <v>2361777.17</v>
      </c>
      <c r="I53" s="780" t="s">
        <v>291</v>
      </c>
      <c r="J53" s="781">
        <f t="shared" si="13"/>
        <v>2361777.17</v>
      </c>
      <c r="K53" s="761" t="str">
        <f t="shared" si="9"/>
        <v xml:space="preserve"> </v>
      </c>
      <c r="L53" s="761" t="str">
        <f t="shared" si="10"/>
        <v xml:space="preserve"> </v>
      </c>
      <c r="M53" s="781" t="str">
        <f t="shared" si="11"/>
        <v xml:space="preserve"> </v>
      </c>
      <c r="N53" s="781" t="str">
        <f t="shared" si="14"/>
        <v xml:space="preserve"> </v>
      </c>
      <c r="O53" s="761"/>
    </row>
    <row r="54" spans="3:15">
      <c r="C54" s="1806">
        <v>2831001</v>
      </c>
      <c r="D54" s="794" t="s">
        <v>337</v>
      </c>
      <c r="E54" s="1806">
        <v>7389</v>
      </c>
      <c r="F54" s="778"/>
      <c r="G54" s="777" t="s">
        <v>1713</v>
      </c>
      <c r="H54" s="779">
        <v>-53139.72</v>
      </c>
      <c r="I54" s="780" t="s">
        <v>291</v>
      </c>
      <c r="J54" s="781">
        <f t="shared" si="13"/>
        <v>-53139.72</v>
      </c>
      <c r="K54" s="761" t="str">
        <f t="shared" si="9"/>
        <v xml:space="preserve"> </v>
      </c>
      <c r="L54" s="761" t="str">
        <f t="shared" si="10"/>
        <v xml:space="preserve"> </v>
      </c>
      <c r="M54" s="781" t="str">
        <f t="shared" si="11"/>
        <v xml:space="preserve"> </v>
      </c>
      <c r="N54" s="781" t="str">
        <f t="shared" si="14"/>
        <v xml:space="preserve"> </v>
      </c>
      <c r="O54" s="761"/>
    </row>
    <row r="55" spans="3:15">
      <c r="C55" s="1806">
        <v>2831001</v>
      </c>
      <c r="D55" s="794"/>
      <c r="E55" s="1806">
        <v>7394</v>
      </c>
      <c r="F55" s="778"/>
      <c r="G55" s="777" t="s">
        <v>1714</v>
      </c>
      <c r="H55" s="779">
        <v>-134239.26999999999</v>
      </c>
      <c r="I55" s="780" t="s">
        <v>291</v>
      </c>
      <c r="J55" s="781">
        <f t="shared" si="13"/>
        <v>-134239.26999999999</v>
      </c>
      <c r="K55" s="761" t="str">
        <f t="shared" si="9"/>
        <v xml:space="preserve"> </v>
      </c>
      <c r="L55" s="761" t="str">
        <f t="shared" si="10"/>
        <v xml:space="preserve"> </v>
      </c>
      <c r="M55" s="781" t="str">
        <f t="shared" si="11"/>
        <v xml:space="preserve"> </v>
      </c>
      <c r="N55" s="781" t="str">
        <f t="shared" si="14"/>
        <v xml:space="preserve"> </v>
      </c>
      <c r="O55" s="761"/>
    </row>
    <row r="56" spans="3:15">
      <c r="C56" s="1806">
        <v>2831001</v>
      </c>
      <c r="D56" s="794"/>
      <c r="E56" s="1806">
        <v>7401</v>
      </c>
      <c r="F56" s="778"/>
      <c r="G56" s="777" t="s">
        <v>1715</v>
      </c>
      <c r="H56" s="779">
        <v>-11827173.07</v>
      </c>
      <c r="I56" s="780" t="s">
        <v>291</v>
      </c>
      <c r="J56" s="781">
        <f t="shared" si="13"/>
        <v>-11827173.07</v>
      </c>
      <c r="K56" s="761" t="str">
        <f t="shared" si="9"/>
        <v xml:space="preserve"> </v>
      </c>
      <c r="L56" s="761" t="str">
        <f t="shared" si="10"/>
        <v xml:space="preserve"> </v>
      </c>
      <c r="M56" s="781" t="str">
        <f t="shared" si="11"/>
        <v xml:space="preserve"> </v>
      </c>
      <c r="N56" s="781" t="str">
        <f t="shared" si="14"/>
        <v xml:space="preserve"> </v>
      </c>
      <c r="O56" s="761"/>
    </row>
    <row r="57" spans="3:15">
      <c r="C57" s="1806">
        <v>2831001</v>
      </c>
      <c r="D57" s="794"/>
      <c r="E57" s="1806">
        <v>7414</v>
      </c>
      <c r="F57" s="778"/>
      <c r="G57" s="777" t="s">
        <v>1716</v>
      </c>
      <c r="H57" s="779">
        <v>50368.85</v>
      </c>
      <c r="I57" s="780" t="s">
        <v>291</v>
      </c>
      <c r="J57" s="781">
        <f t="shared" si="13"/>
        <v>50368.85</v>
      </c>
      <c r="K57" s="761" t="str">
        <f t="shared" si="9"/>
        <v xml:space="preserve"> </v>
      </c>
      <c r="L57" s="761" t="str">
        <f t="shared" si="10"/>
        <v xml:space="preserve"> </v>
      </c>
      <c r="M57" s="781" t="str">
        <f t="shared" si="11"/>
        <v xml:space="preserve"> </v>
      </c>
      <c r="N57" s="781" t="str">
        <f t="shared" si="14"/>
        <v xml:space="preserve"> </v>
      </c>
      <c r="O57" s="761"/>
    </row>
    <row r="58" spans="3:15">
      <c r="C58" s="1806">
        <v>2831001</v>
      </c>
      <c r="D58" s="794"/>
      <c r="E58" s="1806">
        <v>7443</v>
      </c>
      <c r="F58" s="778"/>
      <c r="G58" s="777" t="s">
        <v>1717</v>
      </c>
      <c r="H58" s="779">
        <v>233647.01</v>
      </c>
      <c r="I58" s="780" t="s">
        <v>291</v>
      </c>
      <c r="J58" s="781">
        <f t="shared" ref="J58" si="15">IF(I58="e",H58," ")</f>
        <v>233647.01</v>
      </c>
      <c r="K58" s="761" t="str">
        <f t="shared" si="9"/>
        <v xml:space="preserve"> </v>
      </c>
      <c r="L58" s="761" t="str">
        <f t="shared" si="10"/>
        <v xml:space="preserve"> </v>
      </c>
      <c r="M58" s="781" t="str">
        <f t="shared" si="11"/>
        <v xml:space="preserve"> </v>
      </c>
      <c r="N58" s="781" t="str">
        <f t="shared" si="14"/>
        <v xml:space="preserve"> </v>
      </c>
      <c r="O58" s="761"/>
    </row>
    <row r="59" spans="3:15">
      <c r="C59" s="1806">
        <v>2831001</v>
      </c>
      <c r="D59" s="794"/>
      <c r="E59" s="1806">
        <v>7446</v>
      </c>
      <c r="F59" s="778"/>
      <c r="G59" s="777" t="s">
        <v>1718</v>
      </c>
      <c r="H59" s="779">
        <v>-542803.03</v>
      </c>
      <c r="I59" s="780" t="s">
        <v>291</v>
      </c>
      <c r="J59" s="781">
        <f t="shared" si="13"/>
        <v>-542803.03</v>
      </c>
      <c r="K59" s="761" t="str">
        <f t="shared" si="9"/>
        <v xml:space="preserve"> </v>
      </c>
      <c r="L59" s="761" t="str">
        <f t="shared" si="10"/>
        <v xml:space="preserve"> </v>
      </c>
      <c r="M59" s="781" t="str">
        <f t="shared" si="11"/>
        <v xml:space="preserve"> </v>
      </c>
      <c r="N59" s="781" t="str">
        <f t="shared" si="14"/>
        <v xml:space="preserve"> </v>
      </c>
      <c r="O59" s="761"/>
    </row>
    <row r="60" spans="3:15">
      <c r="C60" s="1806">
        <v>2831001</v>
      </c>
      <c r="D60" s="794"/>
      <c r="E60" s="1806">
        <v>7488</v>
      </c>
      <c r="F60" s="778"/>
      <c r="G60" s="777" t="s">
        <v>1719</v>
      </c>
      <c r="H60" s="779">
        <v>-6508236.21</v>
      </c>
      <c r="I60" s="780" t="s">
        <v>291</v>
      </c>
      <c r="J60" s="781">
        <f t="shared" si="13"/>
        <v>-6508236.21</v>
      </c>
      <c r="K60" s="761" t="str">
        <f t="shared" si="9"/>
        <v xml:space="preserve"> </v>
      </c>
      <c r="L60" s="761" t="str">
        <f t="shared" si="10"/>
        <v xml:space="preserve"> </v>
      </c>
      <c r="M60" s="781" t="str">
        <f t="shared" si="11"/>
        <v xml:space="preserve"> </v>
      </c>
      <c r="N60" s="781" t="str">
        <f t="shared" si="14"/>
        <v xml:space="preserve"> </v>
      </c>
      <c r="O60" s="761"/>
    </row>
    <row r="61" spans="3:15">
      <c r="C61" s="1806">
        <v>2831001</v>
      </c>
      <c r="D61" s="794" t="s">
        <v>337</v>
      </c>
      <c r="E61" s="1806">
        <v>7489</v>
      </c>
      <c r="F61" s="778"/>
      <c r="G61" s="777" t="s">
        <v>1720</v>
      </c>
      <c r="H61" s="779">
        <v>3055799</v>
      </c>
      <c r="I61" s="780" t="s">
        <v>291</v>
      </c>
      <c r="J61" s="781">
        <f t="shared" si="13"/>
        <v>3055799</v>
      </c>
      <c r="K61" s="761" t="str">
        <f t="shared" si="9"/>
        <v xml:space="preserve"> </v>
      </c>
      <c r="L61" s="761" t="str">
        <f t="shared" si="10"/>
        <v xml:space="preserve"> </v>
      </c>
      <c r="M61" s="781" t="str">
        <f t="shared" si="11"/>
        <v xml:space="preserve"> </v>
      </c>
      <c r="N61" s="781" t="str">
        <f t="shared" si="14"/>
        <v xml:space="preserve"> </v>
      </c>
      <c r="O61" s="761"/>
    </row>
    <row r="62" spans="3:15">
      <c r="C62" s="1806">
        <v>2831001</v>
      </c>
      <c r="D62" s="794" t="s">
        <v>337</v>
      </c>
      <c r="E62" s="1806">
        <v>7491</v>
      </c>
      <c r="F62" s="778"/>
      <c r="G62" s="777" t="s">
        <v>1721</v>
      </c>
      <c r="H62" s="779">
        <v>-6035456.5300000003</v>
      </c>
      <c r="I62" s="780" t="s">
        <v>291</v>
      </c>
      <c r="J62" s="781">
        <f t="shared" si="13"/>
        <v>-6035456.5300000003</v>
      </c>
      <c r="K62" s="761" t="str">
        <f t="shared" si="9"/>
        <v xml:space="preserve"> </v>
      </c>
      <c r="L62" s="761" t="str">
        <f t="shared" si="10"/>
        <v xml:space="preserve"> </v>
      </c>
      <c r="M62" s="781" t="str">
        <f t="shared" si="11"/>
        <v xml:space="preserve"> </v>
      </c>
      <c r="N62" s="781" t="str">
        <f t="shared" si="14"/>
        <v xml:space="preserve"> </v>
      </c>
      <c r="O62" s="761"/>
    </row>
    <row r="63" spans="3:15">
      <c r="C63" s="1806">
        <v>2831001</v>
      </c>
      <c r="D63" s="794" t="s">
        <v>337</v>
      </c>
      <c r="E63" s="1806">
        <v>7559</v>
      </c>
      <c r="F63" s="778"/>
      <c r="G63" s="777" t="s">
        <v>1722</v>
      </c>
      <c r="H63" s="779">
        <v>-79428.11</v>
      </c>
      <c r="I63" s="780" t="s">
        <v>291</v>
      </c>
      <c r="J63" s="781">
        <f t="shared" si="13"/>
        <v>-79428.11</v>
      </c>
      <c r="K63" s="761" t="str">
        <f t="shared" si="9"/>
        <v xml:space="preserve"> </v>
      </c>
      <c r="L63" s="761" t="str">
        <f t="shared" si="10"/>
        <v xml:space="preserve"> </v>
      </c>
      <c r="M63" s="781" t="str">
        <f t="shared" si="11"/>
        <v xml:space="preserve"> </v>
      </c>
      <c r="N63" s="781" t="str">
        <f t="shared" si="14"/>
        <v xml:space="preserve"> </v>
      </c>
      <c r="O63" s="761"/>
    </row>
    <row r="64" spans="3:15">
      <c r="C64" s="1806">
        <v>2831001</v>
      </c>
      <c r="D64" s="794"/>
      <c r="E64" s="1806">
        <v>7571</v>
      </c>
      <c r="F64" s="778"/>
      <c r="G64" s="777" t="s">
        <v>1723</v>
      </c>
      <c r="H64" s="779">
        <v>-929631.1</v>
      </c>
      <c r="I64" s="780" t="s">
        <v>158</v>
      </c>
      <c r="J64" s="781" t="str">
        <f t="shared" si="13"/>
        <v xml:space="preserve"> </v>
      </c>
      <c r="K64" s="761" t="str">
        <f t="shared" si="9"/>
        <v xml:space="preserve"> </v>
      </c>
      <c r="L64" s="761">
        <f t="shared" si="10"/>
        <v>-929631.1</v>
      </c>
      <c r="M64" s="781" t="str">
        <f t="shared" si="11"/>
        <v xml:space="preserve"> </v>
      </c>
      <c r="N64" s="781" t="str">
        <f t="shared" si="14"/>
        <v xml:space="preserve"> </v>
      </c>
      <c r="O64" s="761"/>
    </row>
    <row r="65" spans="3:16">
      <c r="C65" s="1806">
        <v>2831001</v>
      </c>
      <c r="D65" s="794" t="s">
        <v>337</v>
      </c>
      <c r="E65" s="1806">
        <v>7575</v>
      </c>
      <c r="F65" s="778"/>
      <c r="G65" s="777" t="s">
        <v>1724</v>
      </c>
      <c r="H65" s="779">
        <v>-10715468.66</v>
      </c>
      <c r="I65" s="780" t="s">
        <v>300</v>
      </c>
      <c r="J65" s="781" t="str">
        <f t="shared" si="13"/>
        <v xml:space="preserve"> </v>
      </c>
      <c r="K65" s="761" t="str">
        <f t="shared" si="9"/>
        <v xml:space="preserve"> </v>
      </c>
      <c r="L65" s="761" t="str">
        <f t="shared" si="10"/>
        <v xml:space="preserve"> </v>
      </c>
      <c r="M65" s="781" t="str">
        <f t="shared" si="11"/>
        <v xml:space="preserve"> </v>
      </c>
      <c r="N65" s="781">
        <f t="shared" si="14"/>
        <v>-10715468.66</v>
      </c>
      <c r="O65" s="761"/>
    </row>
    <row r="66" spans="3:16">
      <c r="C66" s="1806">
        <v>2831001</v>
      </c>
      <c r="D66"/>
      <c r="E66" s="1806">
        <v>7583</v>
      </c>
      <c r="F66"/>
      <c r="G66" s="777" t="s">
        <v>1725</v>
      </c>
      <c r="H66" s="779">
        <v>0.84</v>
      </c>
      <c r="I66" s="780" t="s">
        <v>291</v>
      </c>
      <c r="J66" s="781">
        <f t="shared" si="13"/>
        <v>0.84</v>
      </c>
      <c r="K66" s="761" t="str">
        <f t="shared" si="9"/>
        <v xml:space="preserve"> </v>
      </c>
      <c r="L66" s="761" t="str">
        <f t="shared" si="10"/>
        <v xml:space="preserve"> </v>
      </c>
      <c r="M66" s="781" t="str">
        <f t="shared" si="11"/>
        <v xml:space="preserve"> </v>
      </c>
      <c r="N66" s="781" t="str">
        <f t="shared" si="14"/>
        <v xml:space="preserve"> </v>
      </c>
      <c r="O66" s="761"/>
    </row>
    <row r="67" spans="3:16">
      <c r="C67" s="1806">
        <v>2831001</v>
      </c>
      <c r="D67"/>
      <c r="E67" s="1806">
        <v>8023</v>
      </c>
      <c r="F67"/>
      <c r="G67" s="777" t="s">
        <v>1726</v>
      </c>
      <c r="H67" s="779">
        <v>-306010.32</v>
      </c>
      <c r="I67" s="780" t="s">
        <v>291</v>
      </c>
      <c r="J67" s="781">
        <f t="shared" si="13"/>
        <v>-306010.32</v>
      </c>
      <c r="K67" s="761" t="str">
        <f t="shared" si="9"/>
        <v xml:space="preserve"> </v>
      </c>
      <c r="L67" s="761" t="str">
        <f t="shared" si="10"/>
        <v xml:space="preserve"> </v>
      </c>
      <c r="M67" s="781" t="str">
        <f t="shared" si="11"/>
        <v xml:space="preserve"> </v>
      </c>
      <c r="N67" s="781" t="str">
        <f t="shared" si="14"/>
        <v xml:space="preserve"> </v>
      </c>
      <c r="O67" s="761"/>
    </row>
    <row r="68" spans="3:16" s="797" customFormat="1">
      <c r="C68" s="1806">
        <v>2831001</v>
      </c>
      <c r="D68" s="796"/>
      <c r="E68" s="1806">
        <v>8053</v>
      </c>
      <c r="G68" s="777" t="s">
        <v>1727</v>
      </c>
      <c r="H68" s="779">
        <v>4015490.85</v>
      </c>
      <c r="I68" s="780" t="s">
        <v>300</v>
      </c>
      <c r="J68" s="781" t="str">
        <f t="shared" si="13"/>
        <v xml:space="preserve"> </v>
      </c>
      <c r="K68" s="761" t="str">
        <f t="shared" si="9"/>
        <v xml:space="preserve"> </v>
      </c>
      <c r="L68" s="761" t="str">
        <f t="shared" si="10"/>
        <v xml:space="preserve"> </v>
      </c>
      <c r="M68" s="781" t="str">
        <f t="shared" si="11"/>
        <v xml:space="preserve"> </v>
      </c>
      <c r="N68" s="781">
        <f t="shared" si="14"/>
        <v>4015490.85</v>
      </c>
      <c r="O68" s="761"/>
      <c r="P68" s="12"/>
    </row>
    <row r="69" spans="3:16" s="797" customFormat="1">
      <c r="C69" s="795"/>
      <c r="D69" s="796"/>
      <c r="E69" s="777"/>
      <c r="G69" s="777"/>
      <c r="H69" s="779"/>
      <c r="I69" s="780"/>
      <c r="J69" s="761"/>
      <c r="K69" s="761"/>
      <c r="L69" s="761"/>
      <c r="M69" s="798"/>
      <c r="N69" s="798"/>
      <c r="P69" s="12"/>
    </row>
    <row r="70" spans="3:16">
      <c r="C70" s="778"/>
      <c r="D70"/>
      <c r="E70" s="778"/>
      <c r="F70"/>
      <c r="G70" s="778"/>
      <c r="H70" s="799"/>
      <c r="I70" s="800"/>
      <c r="J70" s="761"/>
      <c r="K70" s="761"/>
      <c r="L70" s="761"/>
      <c r="M70" s="781"/>
      <c r="N70" s="781"/>
    </row>
    <row r="71" spans="3:16">
      <c r="C71" s="1806">
        <v>2831002</v>
      </c>
      <c r="D71"/>
      <c r="E71" s="1806">
        <v>2003</v>
      </c>
      <c r="F71"/>
      <c r="G71" s="777" t="s">
        <v>1693</v>
      </c>
      <c r="H71" s="779">
        <v>-44349519</v>
      </c>
      <c r="I71" s="1806" t="s">
        <v>158</v>
      </c>
      <c r="J71" s="761"/>
      <c r="K71" s="761"/>
      <c r="L71" s="761">
        <f>H71</f>
        <v>-44349519</v>
      </c>
      <c r="M71" s="781"/>
      <c r="N71" s="781"/>
      <c r="O71" s="761"/>
    </row>
    <row r="72" spans="3:16">
      <c r="C72" s="1806">
        <v>2831002</v>
      </c>
      <c r="D72"/>
      <c r="E72" s="1806">
        <v>2008</v>
      </c>
      <c r="F72"/>
      <c r="G72" s="777" t="s">
        <v>1695</v>
      </c>
      <c r="H72" s="779">
        <v>1602689</v>
      </c>
      <c r="I72" s="1806" t="s">
        <v>291</v>
      </c>
      <c r="J72" s="761">
        <f>H72</f>
        <v>1602689</v>
      </c>
      <c r="K72" s="761"/>
      <c r="L72" s="761"/>
      <c r="M72" s="781"/>
      <c r="N72" s="781"/>
      <c r="O72" s="761"/>
    </row>
    <row r="73" spans="3:16">
      <c r="C73" s="1806">
        <v>2831002</v>
      </c>
      <c r="D73"/>
      <c r="E73" s="1806">
        <v>6002</v>
      </c>
      <c r="F73"/>
      <c r="G73" s="777" t="s">
        <v>1676</v>
      </c>
      <c r="H73" s="779">
        <v>-2089672.14</v>
      </c>
      <c r="I73" s="1806" t="s">
        <v>158</v>
      </c>
      <c r="J73" s="761"/>
      <c r="K73" s="761"/>
      <c r="L73" s="761">
        <f t="shared" ref="L73:L78" si="16">H73</f>
        <v>-2089672.14</v>
      </c>
      <c r="M73" s="781"/>
      <c r="N73" s="781"/>
      <c r="O73" s="761"/>
    </row>
    <row r="74" spans="3:16">
      <c r="C74" s="1806">
        <v>2831002</v>
      </c>
      <c r="D74"/>
      <c r="E74" s="1806">
        <v>6004</v>
      </c>
      <c r="F74"/>
      <c r="G74" s="777" t="s">
        <v>1677</v>
      </c>
      <c r="H74" s="779">
        <v>-2500555.35</v>
      </c>
      <c r="I74" s="1806" t="s">
        <v>291</v>
      </c>
      <c r="J74" s="761">
        <f>H74</f>
        <v>-2500555.35</v>
      </c>
      <c r="K74" s="761"/>
      <c r="L74" s="761"/>
      <c r="M74" s="781"/>
      <c r="N74" s="781"/>
      <c r="O74" s="761"/>
    </row>
    <row r="75" spans="3:16">
      <c r="C75" s="1806">
        <v>2831002</v>
      </c>
      <c r="D75"/>
      <c r="E75" s="1806">
        <v>6006</v>
      </c>
      <c r="F75"/>
      <c r="G75" s="777" t="s">
        <v>1678</v>
      </c>
      <c r="H75" s="779">
        <v>31599.63</v>
      </c>
      <c r="I75" s="1806" t="s">
        <v>158</v>
      </c>
      <c r="J75" s="761"/>
      <c r="K75" s="761"/>
      <c r="L75" s="761">
        <f t="shared" si="16"/>
        <v>31599.63</v>
      </c>
      <c r="M75" s="781"/>
      <c r="N75" s="781"/>
      <c r="O75" s="761"/>
    </row>
    <row r="76" spans="3:16">
      <c r="C76" s="1806">
        <v>2831002</v>
      </c>
      <c r="D76"/>
      <c r="E76" s="1806">
        <v>6007</v>
      </c>
      <c r="F76"/>
      <c r="G76" s="777" t="s">
        <v>1679</v>
      </c>
      <c r="H76" s="779">
        <v>3136882.24</v>
      </c>
      <c r="I76" s="1806" t="s">
        <v>291</v>
      </c>
      <c r="J76" s="761">
        <f>H76</f>
        <v>3136882.24</v>
      </c>
      <c r="K76" s="761"/>
      <c r="L76" s="761"/>
      <c r="M76" s="781"/>
      <c r="N76" s="781"/>
      <c r="O76" s="761"/>
    </row>
    <row r="77" spans="3:16">
      <c r="C77" s="1806">
        <v>2831002</v>
      </c>
      <c r="D77"/>
      <c r="E77" s="1806">
        <v>6009</v>
      </c>
      <c r="F77"/>
      <c r="G77" s="777" t="s">
        <v>1680</v>
      </c>
      <c r="H77" s="779">
        <v>-20799812.440000001</v>
      </c>
      <c r="I77" s="1806" t="s">
        <v>158</v>
      </c>
      <c r="J77" s="761"/>
      <c r="K77" s="761"/>
      <c r="L77" s="761">
        <f t="shared" si="16"/>
        <v>-20799812.440000001</v>
      </c>
      <c r="M77" s="781"/>
      <c r="N77" s="781"/>
      <c r="O77" s="761"/>
    </row>
    <row r="78" spans="3:16">
      <c r="C78" s="1806">
        <v>2831002</v>
      </c>
      <c r="D78"/>
      <c r="E78" s="1806">
        <v>6011</v>
      </c>
      <c r="F78"/>
      <c r="G78" s="777" t="s">
        <v>1681</v>
      </c>
      <c r="H78" s="779">
        <v>3517493.22</v>
      </c>
      <c r="I78" s="1806" t="s">
        <v>158</v>
      </c>
      <c r="J78" s="761"/>
      <c r="K78" s="761"/>
      <c r="L78" s="761">
        <f t="shared" si="16"/>
        <v>3517493.22</v>
      </c>
      <c r="M78" s="781"/>
      <c r="N78" s="781"/>
      <c r="O78" s="761"/>
    </row>
    <row r="79" spans="3:16">
      <c r="C79" s="1806">
        <v>2831002</v>
      </c>
      <c r="D79"/>
      <c r="E79" s="1806">
        <v>6018</v>
      </c>
      <c r="F79"/>
      <c r="G79" s="777" t="s">
        <v>1682</v>
      </c>
      <c r="H79" s="779">
        <v>-104199907.7</v>
      </c>
      <c r="I79" s="1806" t="s">
        <v>158</v>
      </c>
      <c r="J79" s="761"/>
      <c r="K79" s="761"/>
      <c r="L79" s="761">
        <f>H79</f>
        <v>-104199907.7</v>
      </c>
      <c r="M79" s="781"/>
      <c r="N79" s="781"/>
      <c r="O79" s="761"/>
    </row>
    <row r="80" spans="3:16">
      <c r="C80" s="1806">
        <v>2831002</v>
      </c>
      <c r="D80"/>
      <c r="E80" s="1806">
        <v>6020</v>
      </c>
      <c r="F80"/>
      <c r="G80" s="777" t="s">
        <v>1728</v>
      </c>
      <c r="H80" s="779">
        <v>-2636199.9</v>
      </c>
      <c r="I80" s="1806" t="s">
        <v>291</v>
      </c>
      <c r="J80" s="761">
        <f>H80</f>
        <v>-2636199.9</v>
      </c>
      <c r="K80" s="761"/>
      <c r="L80" s="761"/>
      <c r="M80" s="781"/>
      <c r="N80" s="781"/>
      <c r="O80" s="761"/>
    </row>
    <row r="81" spans="3:15">
      <c r="C81" s="1806">
        <v>2831002</v>
      </c>
      <c r="D81"/>
      <c r="E81" s="1806">
        <v>6021</v>
      </c>
      <c r="F81"/>
      <c r="G81" s="777" t="s">
        <v>1684</v>
      </c>
      <c r="H81" s="779">
        <v>-423809.08</v>
      </c>
      <c r="I81" s="1806" t="s">
        <v>291</v>
      </c>
      <c r="J81" s="761">
        <f>H81</f>
        <v>-423809.08</v>
      </c>
      <c r="K81" s="761"/>
      <c r="L81" s="761"/>
      <c r="M81" s="781"/>
      <c r="N81" s="781"/>
      <c r="O81" s="761"/>
    </row>
    <row r="82" spans="3:15">
      <c r="C82" s="1806">
        <v>2831002</v>
      </c>
      <c r="D82"/>
      <c r="E82" s="1806">
        <v>6022</v>
      </c>
      <c r="F82"/>
      <c r="G82" s="777" t="s">
        <v>1685</v>
      </c>
      <c r="H82" s="779">
        <v>-3788584.4</v>
      </c>
      <c r="I82" s="1806" t="s">
        <v>158</v>
      </c>
      <c r="J82" s="761"/>
      <c r="K82" s="761"/>
      <c r="L82" s="761">
        <f>H82</f>
        <v>-3788584.4</v>
      </c>
      <c r="M82" s="781"/>
      <c r="N82" s="781"/>
      <c r="O82" s="761"/>
    </row>
    <row r="83" spans="3:15">
      <c r="C83" s="1806">
        <v>2831002</v>
      </c>
      <c r="D83"/>
      <c r="E83" s="1806">
        <v>6024</v>
      </c>
      <c r="F83"/>
      <c r="G83" s="777" t="s">
        <v>1686</v>
      </c>
      <c r="H83" s="779">
        <v>-41550068.549999997</v>
      </c>
      <c r="I83" s="1806" t="s">
        <v>158</v>
      </c>
      <c r="J83" s="761"/>
      <c r="K83" s="761"/>
      <c r="L83" s="761">
        <f>H83</f>
        <v>-41550068.549999997</v>
      </c>
      <c r="M83" s="781"/>
      <c r="N83" s="781"/>
      <c r="O83" s="761"/>
    </row>
    <row r="84" spans="3:15">
      <c r="C84" s="1806">
        <v>2831002</v>
      </c>
      <c r="D84"/>
      <c r="E84" s="1806">
        <v>6026</v>
      </c>
      <c r="F84"/>
      <c r="G84" s="777" t="s">
        <v>1687</v>
      </c>
      <c r="H84" s="779">
        <v>4416.66</v>
      </c>
      <c r="I84" s="1806" t="s">
        <v>1864</v>
      </c>
      <c r="J84" s="761"/>
      <c r="K84" s="761"/>
      <c r="L84" s="761"/>
      <c r="M84" s="781"/>
      <c r="N84" s="781">
        <f>H84</f>
        <v>4416.66</v>
      </c>
      <c r="O84" s="761"/>
    </row>
    <row r="85" spans="3:15">
      <c r="C85" s="1806">
        <v>2831002</v>
      </c>
      <c r="D85"/>
      <c r="E85" s="1806">
        <v>6503</v>
      </c>
      <c r="F85"/>
      <c r="G85" s="777" t="s">
        <v>1688</v>
      </c>
      <c r="H85" s="779">
        <v>-0.05</v>
      </c>
      <c r="I85" s="1806" t="s">
        <v>291</v>
      </c>
      <c r="J85" s="761">
        <f>H85</f>
        <v>-0.05</v>
      </c>
      <c r="K85" s="761"/>
      <c r="L85" s="761"/>
      <c r="M85" s="781"/>
      <c r="N85" s="781"/>
      <c r="O85" s="761"/>
    </row>
    <row r="86" spans="3:15">
      <c r="C86" s="1806">
        <v>2831002</v>
      </c>
      <c r="D86"/>
      <c r="E86" s="1806">
        <v>6523</v>
      </c>
      <c r="F86"/>
      <c r="G86" s="777" t="s">
        <v>1689</v>
      </c>
      <c r="H86" s="779">
        <v>1500240.77</v>
      </c>
      <c r="I86" s="1806" t="s">
        <v>300</v>
      </c>
      <c r="J86" s="761"/>
      <c r="K86" s="761"/>
      <c r="L86" s="761"/>
      <c r="M86" s="781"/>
      <c r="N86" s="781">
        <f>H86</f>
        <v>1500240.77</v>
      </c>
      <c r="O86" s="761"/>
    </row>
    <row r="87" spans="3:15">
      <c r="C87" s="1806">
        <v>2831002</v>
      </c>
      <c r="D87"/>
      <c r="E87" s="1806">
        <v>7002</v>
      </c>
      <c r="F87"/>
      <c r="G87" s="777" t="s">
        <v>1759</v>
      </c>
      <c r="H87" s="779">
        <v>371788.96</v>
      </c>
      <c r="I87" s="1806" t="s">
        <v>158</v>
      </c>
      <c r="J87" s="761"/>
      <c r="K87" s="761"/>
      <c r="L87" s="761">
        <f>H87</f>
        <v>371788.96</v>
      </c>
      <c r="M87" s="781"/>
      <c r="N87" s="781"/>
      <c r="O87" s="761"/>
    </row>
    <row r="88" spans="3:15">
      <c r="C88" s="1806">
        <v>2831002</v>
      </c>
      <c r="D88"/>
      <c r="E88" s="1806">
        <v>7019</v>
      </c>
      <c r="F88"/>
      <c r="G88" s="777" t="s">
        <v>1729</v>
      </c>
      <c r="H88" s="779">
        <v>-2578896.88</v>
      </c>
      <c r="I88" s="1806" t="s">
        <v>291</v>
      </c>
      <c r="J88" s="761">
        <f>H88</f>
        <v>-2578896.88</v>
      </c>
      <c r="K88" s="761"/>
      <c r="L88" s="761"/>
      <c r="M88" s="781"/>
      <c r="N88" s="781"/>
      <c r="O88" s="761"/>
    </row>
    <row r="89" spans="3:15">
      <c r="C89" s="1806">
        <v>2831002</v>
      </c>
      <c r="D89"/>
      <c r="E89" s="1806">
        <v>7021</v>
      </c>
      <c r="F89"/>
      <c r="G89" s="777" t="s">
        <v>1730</v>
      </c>
      <c r="H89" s="779">
        <v>434931.1</v>
      </c>
      <c r="I89" s="1806" t="s">
        <v>291</v>
      </c>
      <c r="J89" s="761">
        <f>H89</f>
        <v>434931.1</v>
      </c>
      <c r="K89" s="761"/>
      <c r="L89" s="761"/>
      <c r="M89" s="781"/>
      <c r="N89" s="781"/>
      <c r="O89" s="761"/>
    </row>
    <row r="90" spans="3:15">
      <c r="C90" s="1806">
        <v>2831002</v>
      </c>
      <c r="D90"/>
      <c r="E90" s="1806">
        <v>7026</v>
      </c>
      <c r="F90"/>
      <c r="G90" s="777" t="s">
        <v>1699</v>
      </c>
      <c r="H90" s="779">
        <v>145598.54999999999</v>
      </c>
      <c r="I90" s="1806" t="s">
        <v>291</v>
      </c>
      <c r="J90" s="761">
        <f>H90</f>
        <v>145598.54999999999</v>
      </c>
      <c r="K90" s="761"/>
      <c r="L90" s="761"/>
      <c r="M90" s="781"/>
      <c r="N90" s="781"/>
      <c r="O90" s="761"/>
    </row>
    <row r="91" spans="3:15">
      <c r="C91" s="1806">
        <v>2831002</v>
      </c>
      <c r="D91"/>
      <c r="E91" s="1806">
        <v>7027</v>
      </c>
      <c r="F91"/>
      <c r="G91" s="777" t="s">
        <v>1731</v>
      </c>
      <c r="H91" s="779">
        <v>-75302.929999999993</v>
      </c>
      <c r="I91" s="1806" t="s">
        <v>1864</v>
      </c>
      <c r="J91" s="761"/>
      <c r="K91" s="761"/>
      <c r="L91" s="761"/>
      <c r="M91" s="781"/>
      <c r="N91" s="781">
        <f>H91</f>
        <v>-75302.929999999993</v>
      </c>
      <c r="O91" s="761"/>
    </row>
    <row r="92" spans="3:15">
      <c r="C92" s="1806">
        <v>2831002</v>
      </c>
      <c r="D92"/>
      <c r="E92" s="1806">
        <v>7029</v>
      </c>
      <c r="F92"/>
      <c r="G92" s="777" t="s">
        <v>1732</v>
      </c>
      <c r="H92" s="779">
        <v>29453.59</v>
      </c>
      <c r="I92" s="1806" t="s">
        <v>300</v>
      </c>
      <c r="J92" s="761"/>
      <c r="K92" s="761"/>
      <c r="L92" s="761"/>
      <c r="M92" s="781"/>
      <c r="N92" s="781">
        <f>H92</f>
        <v>29453.59</v>
      </c>
      <c r="O92" s="761"/>
    </row>
    <row r="93" spans="3:15">
      <c r="C93" s="1806">
        <v>2831002</v>
      </c>
      <c r="D93"/>
      <c r="E93" s="1806">
        <v>7032</v>
      </c>
      <c r="F93"/>
      <c r="G93" s="777" t="s">
        <v>1700</v>
      </c>
      <c r="H93" s="779">
        <v>-2462348.88</v>
      </c>
      <c r="I93" s="1806" t="s">
        <v>1864</v>
      </c>
      <c r="J93" s="761"/>
      <c r="K93" s="761"/>
      <c r="L93" s="761"/>
      <c r="M93" s="781"/>
      <c r="N93" s="781">
        <f>H93</f>
        <v>-2462348.88</v>
      </c>
      <c r="O93" s="761"/>
    </row>
    <row r="94" spans="3:15">
      <c r="C94" s="1806">
        <v>2831002</v>
      </c>
      <c r="D94"/>
      <c r="E94" s="1806">
        <v>7033</v>
      </c>
      <c r="F94"/>
      <c r="G94" s="777" t="s">
        <v>1701</v>
      </c>
      <c r="H94" s="779">
        <v>2135133.77</v>
      </c>
      <c r="I94" s="1806" t="s">
        <v>291</v>
      </c>
      <c r="J94" s="761">
        <f>H94</f>
        <v>2135133.77</v>
      </c>
      <c r="K94" s="761"/>
      <c r="L94" s="761"/>
      <c r="M94" s="781"/>
      <c r="N94" s="781"/>
      <c r="O94" s="761"/>
    </row>
    <row r="95" spans="3:15">
      <c r="C95" s="1806">
        <v>2831002</v>
      </c>
      <c r="D95"/>
      <c r="E95" s="1806">
        <v>7034</v>
      </c>
      <c r="F95"/>
      <c r="G95" s="777" t="s">
        <v>1733</v>
      </c>
      <c r="H95" s="779">
        <v>47499.26</v>
      </c>
      <c r="I95" s="1806" t="s">
        <v>158</v>
      </c>
      <c r="J95" s="761"/>
      <c r="K95" s="761"/>
      <c r="L95" s="761">
        <f>H95</f>
        <v>47499.26</v>
      </c>
      <c r="M95" s="781"/>
      <c r="N95" s="781"/>
      <c r="O95" s="761"/>
    </row>
    <row r="96" spans="3:15">
      <c r="C96" s="1806">
        <v>2831002</v>
      </c>
      <c r="D96"/>
      <c r="E96" s="1806">
        <v>7035</v>
      </c>
      <c r="F96"/>
      <c r="G96" s="777" t="s">
        <v>1734</v>
      </c>
      <c r="H96" s="779">
        <v>8055.49</v>
      </c>
      <c r="I96" s="1806" t="s">
        <v>291</v>
      </c>
      <c r="J96" s="761">
        <f>H96</f>
        <v>8055.49</v>
      </c>
      <c r="K96" s="761"/>
      <c r="L96" s="761"/>
      <c r="M96" s="781"/>
      <c r="N96" s="781"/>
      <c r="O96" s="761"/>
    </row>
    <row r="97" spans="3:15">
      <c r="C97" s="1806">
        <v>2831002</v>
      </c>
      <c r="D97"/>
      <c r="E97" s="1806">
        <v>7036</v>
      </c>
      <c r="F97"/>
      <c r="G97" s="777" t="s">
        <v>1735</v>
      </c>
      <c r="H97" s="779">
        <v>2557.29</v>
      </c>
      <c r="I97" s="1806" t="s">
        <v>291</v>
      </c>
      <c r="J97" s="761">
        <f>H97</f>
        <v>2557.29</v>
      </c>
      <c r="K97" s="761"/>
      <c r="L97" s="761"/>
      <c r="M97" s="781"/>
      <c r="N97" s="781"/>
      <c r="O97" s="761"/>
    </row>
    <row r="98" spans="3:15">
      <c r="C98" s="1806">
        <v>2831002</v>
      </c>
      <c r="D98"/>
      <c r="E98" s="1806">
        <v>7039</v>
      </c>
      <c r="F98"/>
      <c r="G98" s="777" t="s">
        <v>1736</v>
      </c>
      <c r="H98" s="779">
        <v>61843.33</v>
      </c>
      <c r="I98" s="1806" t="s">
        <v>291</v>
      </c>
      <c r="J98" s="761">
        <f>H98</f>
        <v>61843.33</v>
      </c>
      <c r="K98" s="761"/>
      <c r="L98" s="761"/>
      <c r="M98" s="781"/>
      <c r="N98" s="781"/>
      <c r="O98" s="761"/>
    </row>
    <row r="99" spans="3:15">
      <c r="C99" s="1806">
        <v>2831002</v>
      </c>
      <c r="D99"/>
      <c r="E99" s="1806">
        <v>7040</v>
      </c>
      <c r="F99"/>
      <c r="G99" s="777" t="s">
        <v>1737</v>
      </c>
      <c r="H99" s="779">
        <v>3466.8</v>
      </c>
      <c r="I99" s="1806" t="s">
        <v>291</v>
      </c>
      <c r="J99" s="761">
        <f>H99</f>
        <v>3466.8</v>
      </c>
      <c r="K99" s="761"/>
      <c r="L99" s="761"/>
      <c r="M99" s="781"/>
      <c r="N99" s="781"/>
      <c r="O99" s="761"/>
    </row>
    <row r="100" spans="3:15">
      <c r="C100" s="1806">
        <v>2831002</v>
      </c>
      <c r="D100"/>
      <c r="E100" s="1806">
        <v>7048</v>
      </c>
      <c r="F100"/>
      <c r="G100" s="777" t="s">
        <v>1738</v>
      </c>
      <c r="H100" s="779">
        <v>270899.57</v>
      </c>
      <c r="I100" s="1806" t="s">
        <v>291</v>
      </c>
      <c r="J100" s="761">
        <f>H100</f>
        <v>270899.57</v>
      </c>
      <c r="K100" s="761"/>
      <c r="L100" s="761"/>
      <c r="M100" s="781"/>
      <c r="N100" s="781"/>
      <c r="O100" s="761"/>
    </row>
    <row r="101" spans="3:15">
      <c r="C101" s="1806">
        <v>2831002</v>
      </c>
      <c r="D101"/>
      <c r="E101" s="1806">
        <v>7052</v>
      </c>
      <c r="F101"/>
      <c r="G101" s="777" t="s">
        <v>1739</v>
      </c>
      <c r="H101" s="779">
        <v>369171.44</v>
      </c>
      <c r="I101" s="1806" t="s">
        <v>291</v>
      </c>
      <c r="J101" s="761">
        <f t="shared" ref="J101:J106" si="17">H101</f>
        <v>369171.44</v>
      </c>
      <c r="K101" s="761"/>
      <c r="L101" s="761"/>
      <c r="M101" s="781"/>
      <c r="N101" s="781"/>
      <c r="O101" s="761"/>
    </row>
    <row r="102" spans="3:15">
      <c r="C102" s="1806">
        <v>2831002</v>
      </c>
      <c r="D102"/>
      <c r="E102" s="1806">
        <v>7053</v>
      </c>
      <c r="F102"/>
      <c r="G102" s="777" t="s">
        <v>1740</v>
      </c>
      <c r="H102" s="779">
        <v>5980.2</v>
      </c>
      <c r="I102" s="1806" t="s">
        <v>291</v>
      </c>
      <c r="J102" s="761">
        <f t="shared" si="17"/>
        <v>5980.2</v>
      </c>
      <c r="K102" s="761"/>
      <c r="L102" s="761"/>
      <c r="M102" s="781"/>
      <c r="N102" s="781"/>
      <c r="O102" s="761"/>
    </row>
    <row r="103" spans="3:15">
      <c r="C103" s="1806">
        <v>2831002</v>
      </c>
      <c r="D103"/>
      <c r="E103" s="1806">
        <v>7054</v>
      </c>
      <c r="F103"/>
      <c r="G103" s="777" t="s">
        <v>1741</v>
      </c>
      <c r="H103" s="779">
        <v>-3878.39</v>
      </c>
      <c r="I103" s="1806" t="s">
        <v>291</v>
      </c>
      <c r="J103" s="761">
        <f t="shared" si="17"/>
        <v>-3878.39</v>
      </c>
      <c r="K103" s="761"/>
      <c r="L103" s="761"/>
      <c r="M103" s="781"/>
      <c r="N103" s="781"/>
      <c r="O103" s="761"/>
    </row>
    <row r="104" spans="3:15">
      <c r="C104" s="1806">
        <v>2831002</v>
      </c>
      <c r="D104"/>
      <c r="E104" s="1806">
        <v>7055</v>
      </c>
      <c r="F104"/>
      <c r="G104" s="777" t="s">
        <v>1742</v>
      </c>
      <c r="H104" s="779">
        <v>25069.49</v>
      </c>
      <c r="I104" s="1806" t="s">
        <v>291</v>
      </c>
      <c r="J104" s="761">
        <f t="shared" si="17"/>
        <v>25069.49</v>
      </c>
      <c r="K104" s="761"/>
      <c r="L104" s="761"/>
      <c r="M104" s="781"/>
      <c r="N104" s="781"/>
      <c r="O104" s="761"/>
    </row>
    <row r="105" spans="3:15">
      <c r="C105" s="1806">
        <v>2831002</v>
      </c>
      <c r="D105"/>
      <c r="E105" s="1806">
        <v>7061</v>
      </c>
      <c r="F105"/>
      <c r="G105" s="777" t="s">
        <v>1760</v>
      </c>
      <c r="H105" s="779">
        <v>8.4600000000000009</v>
      </c>
      <c r="I105" s="1806" t="s">
        <v>291</v>
      </c>
      <c r="J105" s="761">
        <f t="shared" si="17"/>
        <v>8.4600000000000009</v>
      </c>
      <c r="K105" s="761"/>
      <c r="L105" s="761"/>
      <c r="M105" s="781"/>
      <c r="N105" s="781"/>
      <c r="O105" s="761"/>
    </row>
    <row r="106" spans="3:15">
      <c r="C106" s="1806">
        <v>2831002</v>
      </c>
      <c r="D106"/>
      <c r="E106" s="1806">
        <v>7083</v>
      </c>
      <c r="F106"/>
      <c r="G106" s="777" t="s">
        <v>1743</v>
      </c>
      <c r="H106" s="779">
        <v>12917.23</v>
      </c>
      <c r="I106" s="1806" t="s">
        <v>291</v>
      </c>
      <c r="J106" s="761">
        <f t="shared" si="17"/>
        <v>12917.23</v>
      </c>
      <c r="K106" s="761"/>
      <c r="L106" s="761"/>
      <c r="M106" s="781"/>
      <c r="N106" s="781"/>
      <c r="O106" s="761"/>
    </row>
    <row r="107" spans="3:15">
      <c r="C107" s="1806">
        <v>2831002</v>
      </c>
      <c r="D107"/>
      <c r="E107" s="1806">
        <v>7085</v>
      </c>
      <c r="F107"/>
      <c r="G107" s="777" t="s">
        <v>1702</v>
      </c>
      <c r="H107" s="779">
        <v>-4450023.72</v>
      </c>
      <c r="I107" s="1806" t="s">
        <v>158</v>
      </c>
      <c r="J107" s="761"/>
      <c r="K107" s="761"/>
      <c r="L107" s="761">
        <f>H107</f>
        <v>-4450023.72</v>
      </c>
      <c r="M107" s="781"/>
      <c r="N107" s="781"/>
      <c r="O107" s="761"/>
    </row>
    <row r="108" spans="3:15">
      <c r="C108" s="1806">
        <v>2831002</v>
      </c>
      <c r="D108"/>
      <c r="E108" s="1806">
        <v>7086</v>
      </c>
      <c r="F108"/>
      <c r="G108" s="777" t="s">
        <v>1703</v>
      </c>
      <c r="H108" s="779">
        <v>-6101.65</v>
      </c>
      <c r="I108" s="1806" t="s">
        <v>291</v>
      </c>
      <c r="J108" s="761">
        <f>H108</f>
        <v>-6101.65</v>
      </c>
      <c r="K108" s="761"/>
      <c r="L108" s="761"/>
      <c r="M108" s="781"/>
      <c r="N108" s="781"/>
      <c r="O108" s="761"/>
    </row>
    <row r="109" spans="3:15">
      <c r="C109" s="1806">
        <v>2831002</v>
      </c>
      <c r="D109"/>
      <c r="E109" s="1806">
        <v>7103</v>
      </c>
      <c r="F109"/>
      <c r="G109" s="777" t="s">
        <v>1704</v>
      </c>
      <c r="H109" s="779">
        <v>-10712.17</v>
      </c>
      <c r="I109" s="1806" t="s">
        <v>291</v>
      </c>
      <c r="J109" s="761">
        <f t="shared" ref="J109:J111" si="18">H109</f>
        <v>-10712.17</v>
      </c>
      <c r="K109" s="761"/>
      <c r="L109" s="761"/>
      <c r="M109" s="781"/>
      <c r="N109" s="781"/>
      <c r="O109" s="761"/>
    </row>
    <row r="110" spans="3:15">
      <c r="C110" s="1806">
        <v>2831002</v>
      </c>
      <c r="D110"/>
      <c r="E110" s="1806">
        <v>7104</v>
      </c>
      <c r="F110"/>
      <c r="G110" s="777" t="s">
        <v>1744</v>
      </c>
      <c r="H110" s="779">
        <v>45397.49</v>
      </c>
      <c r="I110" s="1806" t="s">
        <v>291</v>
      </c>
      <c r="J110" s="761">
        <f t="shared" si="18"/>
        <v>45397.49</v>
      </c>
      <c r="K110" s="761"/>
      <c r="L110" s="761"/>
      <c r="M110" s="781"/>
      <c r="N110" s="781"/>
      <c r="O110" s="761"/>
    </row>
    <row r="111" spans="3:15">
      <c r="C111" s="1806">
        <v>2831002</v>
      </c>
      <c r="D111"/>
      <c r="E111" s="1806">
        <v>7110</v>
      </c>
      <c r="F111"/>
      <c r="G111" s="777" t="s">
        <v>1745</v>
      </c>
      <c r="H111" s="779">
        <v>-146843.97</v>
      </c>
      <c r="I111" s="1806" t="s">
        <v>291</v>
      </c>
      <c r="J111" s="761">
        <f t="shared" si="18"/>
        <v>-146843.97</v>
      </c>
      <c r="K111" s="761"/>
      <c r="L111" s="761"/>
      <c r="M111" s="781"/>
      <c r="N111" s="781"/>
      <c r="O111" s="761"/>
    </row>
    <row r="112" spans="3:15">
      <c r="C112" s="1806">
        <v>2831002</v>
      </c>
      <c r="D112"/>
      <c r="E112" s="1806">
        <v>7137</v>
      </c>
      <c r="F112"/>
      <c r="G112" s="777" t="s">
        <v>1705</v>
      </c>
      <c r="H112" s="779">
        <v>-2135133.77</v>
      </c>
      <c r="I112" s="1806" t="s">
        <v>291</v>
      </c>
      <c r="J112" s="761">
        <f t="shared" ref="J112:J117" si="19">H112</f>
        <v>-2135133.77</v>
      </c>
      <c r="K112" s="761"/>
      <c r="L112" s="761"/>
      <c r="M112" s="781"/>
      <c r="N112" s="781"/>
      <c r="O112" s="761"/>
    </row>
    <row r="113" spans="3:15">
      <c r="C113" s="1806">
        <v>2831002</v>
      </c>
      <c r="D113"/>
      <c r="E113" s="1806">
        <v>7138</v>
      </c>
      <c r="F113"/>
      <c r="G113" s="777" t="s">
        <v>1706</v>
      </c>
      <c r="H113" s="779">
        <v>-8055.49</v>
      </c>
      <c r="I113" s="1806" t="s">
        <v>291</v>
      </c>
      <c r="J113" s="761">
        <f t="shared" si="19"/>
        <v>-8055.49</v>
      </c>
      <c r="K113" s="761"/>
      <c r="L113" s="761"/>
      <c r="M113" s="781"/>
      <c r="N113" s="781"/>
      <c r="O113" s="761"/>
    </row>
    <row r="114" spans="3:15">
      <c r="C114" s="1806">
        <v>2831002</v>
      </c>
      <c r="D114"/>
      <c r="E114" s="1806">
        <v>7139</v>
      </c>
      <c r="F114"/>
      <c r="G114" s="777" t="s">
        <v>1707</v>
      </c>
      <c r="H114" s="779">
        <v>-153609.98000000001</v>
      </c>
      <c r="I114" s="1806" t="s">
        <v>291</v>
      </c>
      <c r="J114" s="761">
        <f t="shared" si="19"/>
        <v>-153609.98000000001</v>
      </c>
      <c r="K114" s="761"/>
      <c r="L114" s="761"/>
      <c r="M114" s="781"/>
      <c r="N114" s="781"/>
      <c r="O114" s="761"/>
    </row>
    <row r="115" spans="3:15">
      <c r="C115" s="1806">
        <v>2831002</v>
      </c>
      <c r="D115"/>
      <c r="E115" s="1806">
        <v>7141</v>
      </c>
      <c r="F115"/>
      <c r="G115" s="777" t="s">
        <v>1708</v>
      </c>
      <c r="H115" s="779">
        <v>-288820.53999999998</v>
      </c>
      <c r="I115" s="1806" t="s">
        <v>291</v>
      </c>
      <c r="J115" s="761">
        <f t="shared" si="19"/>
        <v>-288820.53999999998</v>
      </c>
      <c r="K115" s="761"/>
      <c r="L115" s="761"/>
      <c r="M115" s="781"/>
      <c r="N115" s="781"/>
      <c r="O115" s="761"/>
    </row>
    <row r="116" spans="3:15">
      <c r="C116" s="1806">
        <v>2831002</v>
      </c>
      <c r="D116"/>
      <c r="E116" s="1806">
        <v>7175</v>
      </c>
      <c r="F116"/>
      <c r="G116" s="777" t="s">
        <v>1709</v>
      </c>
      <c r="H116" s="779">
        <v>-2651698.7400000002</v>
      </c>
      <c r="I116" s="1806" t="s">
        <v>291</v>
      </c>
      <c r="J116" s="761">
        <f t="shared" si="19"/>
        <v>-2651698.7400000002</v>
      </c>
      <c r="K116" s="761"/>
      <c r="L116" s="761"/>
      <c r="M116" s="781"/>
      <c r="N116" s="781"/>
      <c r="O116" s="761"/>
    </row>
    <row r="117" spans="3:15">
      <c r="C117" s="1806">
        <v>2831002</v>
      </c>
      <c r="D117"/>
      <c r="E117" s="1806">
        <v>7176</v>
      </c>
      <c r="F117"/>
      <c r="G117" s="777" t="s">
        <v>1710</v>
      </c>
      <c r="H117" s="779">
        <v>2250513.84</v>
      </c>
      <c r="I117" s="1806" t="s">
        <v>291</v>
      </c>
      <c r="J117" s="761">
        <f t="shared" si="19"/>
        <v>2250513.84</v>
      </c>
      <c r="K117" s="761"/>
      <c r="L117" s="761"/>
      <c r="M117" s="781"/>
      <c r="N117" s="781"/>
      <c r="O117" s="761"/>
    </row>
    <row r="118" spans="3:15">
      <c r="C118" s="1806">
        <v>2831002</v>
      </c>
      <c r="D118"/>
      <c r="E118" s="1806">
        <v>7202</v>
      </c>
      <c r="F118"/>
      <c r="G118" s="777" t="s">
        <v>1758</v>
      </c>
      <c r="H118" s="779">
        <v>-232028.98</v>
      </c>
      <c r="I118" s="1806" t="s">
        <v>291</v>
      </c>
      <c r="J118" s="761">
        <f t="shared" ref="J118:J121" si="20">H118</f>
        <v>-232028.98</v>
      </c>
      <c r="K118" s="761"/>
      <c r="L118" s="761"/>
      <c r="M118" s="781"/>
      <c r="N118" s="781"/>
      <c r="O118" s="761"/>
    </row>
    <row r="119" spans="3:15">
      <c r="C119" s="1806">
        <v>2831002</v>
      </c>
      <c r="D119"/>
      <c r="E119" s="1806">
        <v>7378</v>
      </c>
      <c r="F119"/>
      <c r="G119" s="777" t="s">
        <v>1711</v>
      </c>
      <c r="H119" s="779">
        <v>-1294474.22</v>
      </c>
      <c r="I119" s="1806" t="s">
        <v>291</v>
      </c>
      <c r="J119" s="761">
        <f t="shared" si="20"/>
        <v>-1294474.22</v>
      </c>
      <c r="K119" s="761"/>
      <c r="L119" s="761"/>
      <c r="M119" s="781"/>
      <c r="N119" s="781"/>
      <c r="O119" s="761"/>
    </row>
    <row r="120" spans="3:15">
      <c r="C120" s="1806">
        <v>2831002</v>
      </c>
      <c r="D120"/>
      <c r="E120" s="1806">
        <v>7379</v>
      </c>
      <c r="F120"/>
      <c r="G120" s="777" t="s">
        <v>1712</v>
      </c>
      <c r="H120" s="779">
        <v>448377.77</v>
      </c>
      <c r="I120" s="1806" t="s">
        <v>291</v>
      </c>
      <c r="J120" s="761">
        <f t="shared" si="20"/>
        <v>448377.77</v>
      </c>
      <c r="K120" s="761"/>
      <c r="L120" s="761"/>
      <c r="M120" s="781"/>
      <c r="N120" s="781"/>
      <c r="O120" s="761"/>
    </row>
    <row r="121" spans="3:15">
      <c r="C121" s="1806">
        <v>2831002</v>
      </c>
      <c r="D121"/>
      <c r="E121" s="1806">
        <v>7389</v>
      </c>
      <c r="F121"/>
      <c r="G121" s="777" t="s">
        <v>1713</v>
      </c>
      <c r="H121" s="779">
        <v>-10088.44</v>
      </c>
      <c r="I121" s="1806" t="s">
        <v>291</v>
      </c>
      <c r="J121" s="761">
        <f t="shared" si="20"/>
        <v>-10088.44</v>
      </c>
      <c r="K121" s="761"/>
      <c r="L121" s="761"/>
      <c r="M121" s="781"/>
      <c r="N121" s="781"/>
      <c r="O121" s="761"/>
    </row>
    <row r="122" spans="3:15">
      <c r="C122" s="1806">
        <v>2831002</v>
      </c>
      <c r="D122"/>
      <c r="E122" s="1806">
        <v>7394</v>
      </c>
      <c r="F122"/>
      <c r="G122" s="777" t="s">
        <v>1714</v>
      </c>
      <c r="H122" s="779">
        <v>-25485.01</v>
      </c>
      <c r="I122" s="1806" t="s">
        <v>291</v>
      </c>
      <c r="J122" s="761">
        <f>H122</f>
        <v>-25485.01</v>
      </c>
      <c r="K122" s="761"/>
      <c r="L122" s="761"/>
      <c r="M122" s="781"/>
      <c r="N122" s="781"/>
      <c r="O122" s="761"/>
    </row>
    <row r="123" spans="3:15">
      <c r="C123" s="1806">
        <v>2831002</v>
      </c>
      <c r="D123"/>
      <c r="E123" s="1806">
        <v>7401</v>
      </c>
      <c r="F123"/>
      <c r="G123" s="777" t="s">
        <v>1715</v>
      </c>
      <c r="H123" s="779">
        <v>-2245360.65</v>
      </c>
      <c r="I123" s="1806" t="s">
        <v>291</v>
      </c>
      <c r="J123" s="761">
        <f>H123</f>
        <v>-2245360.65</v>
      </c>
      <c r="K123" s="761"/>
      <c r="L123" s="761"/>
      <c r="M123" s="781"/>
      <c r="N123" s="781"/>
      <c r="O123" s="761"/>
    </row>
    <row r="124" spans="3:15">
      <c r="C124" s="1806">
        <v>2831002</v>
      </c>
      <c r="D124"/>
      <c r="E124" s="1806">
        <v>7414</v>
      </c>
      <c r="F124"/>
      <c r="G124" s="777" t="s">
        <v>1716</v>
      </c>
      <c r="H124" s="779">
        <v>9562.41</v>
      </c>
      <c r="I124" s="1806" t="s">
        <v>291</v>
      </c>
      <c r="J124" s="761">
        <f>H124</f>
        <v>9562.41</v>
      </c>
      <c r="K124" s="761"/>
      <c r="L124" s="761"/>
      <c r="M124" s="781"/>
      <c r="N124" s="781"/>
      <c r="O124" s="761"/>
    </row>
    <row r="125" spans="3:15">
      <c r="C125" s="1806">
        <v>2831002</v>
      </c>
      <c r="D125"/>
      <c r="E125" s="1806">
        <v>7443</v>
      </c>
      <c r="F125"/>
      <c r="G125" s="777" t="s">
        <v>1717</v>
      </c>
      <c r="H125" s="779">
        <v>44357.33</v>
      </c>
      <c r="I125" s="1806" t="s">
        <v>291</v>
      </c>
      <c r="J125" s="761">
        <f t="shared" ref="J125:J143" si="21">H125</f>
        <v>44357.33</v>
      </c>
      <c r="K125" s="761"/>
      <c r="L125" s="761"/>
      <c r="M125" s="781"/>
      <c r="N125" s="781"/>
      <c r="O125" s="761"/>
    </row>
    <row r="126" spans="3:15">
      <c r="C126" s="1806">
        <v>2831002</v>
      </c>
      <c r="D126"/>
      <c r="E126" s="1806">
        <v>7446</v>
      </c>
      <c r="F126"/>
      <c r="G126" s="777" t="s">
        <v>1718</v>
      </c>
      <c r="H126" s="779">
        <v>-103049.86</v>
      </c>
      <c r="I126" s="1806" t="s">
        <v>291</v>
      </c>
      <c r="J126" s="761">
        <f t="shared" si="21"/>
        <v>-103049.86</v>
      </c>
      <c r="K126" s="761"/>
      <c r="L126" s="761"/>
      <c r="M126" s="781"/>
      <c r="N126" s="781"/>
      <c r="O126" s="761"/>
    </row>
    <row r="127" spans="3:15">
      <c r="C127" s="1806">
        <v>2831002</v>
      </c>
      <c r="D127"/>
      <c r="E127" s="1806">
        <v>7488</v>
      </c>
      <c r="F127"/>
      <c r="G127" s="777" t="s">
        <v>1719</v>
      </c>
      <c r="H127" s="779">
        <v>-1235573.1499999999</v>
      </c>
      <c r="I127" s="1806" t="s">
        <v>291</v>
      </c>
      <c r="J127" s="761">
        <f t="shared" si="21"/>
        <v>-1235573.1499999999</v>
      </c>
      <c r="K127" s="761"/>
      <c r="L127" s="761"/>
      <c r="M127" s="781"/>
      <c r="N127" s="781"/>
      <c r="O127" s="761"/>
    </row>
    <row r="128" spans="3:15">
      <c r="C128" s="1806">
        <v>2831002</v>
      </c>
      <c r="D128"/>
      <c r="E128" s="1806">
        <v>7489</v>
      </c>
      <c r="F128"/>
      <c r="G128" s="777" t="s">
        <v>1720</v>
      </c>
      <c r="H128" s="779">
        <v>580136.16</v>
      </c>
      <c r="I128" s="1806" t="s">
        <v>291</v>
      </c>
      <c r="J128" s="761">
        <f t="shared" si="21"/>
        <v>580136.16</v>
      </c>
      <c r="K128" s="761"/>
      <c r="L128" s="761"/>
      <c r="M128" s="781"/>
      <c r="N128" s="781"/>
      <c r="O128" s="761"/>
    </row>
    <row r="129" spans="3:15">
      <c r="C129" s="1806">
        <v>2831002</v>
      </c>
      <c r="D129"/>
      <c r="E129" s="1806">
        <v>7491</v>
      </c>
      <c r="F129"/>
      <c r="G129" s="777" t="s">
        <v>1721</v>
      </c>
      <c r="H129" s="779">
        <v>-1145817.05</v>
      </c>
      <c r="I129" s="1806" t="s">
        <v>291</v>
      </c>
      <c r="J129" s="761">
        <f t="shared" si="21"/>
        <v>-1145817.05</v>
      </c>
      <c r="K129" s="761"/>
      <c r="L129" s="761"/>
      <c r="M129" s="781"/>
      <c r="N129" s="781"/>
      <c r="O129" s="761"/>
    </row>
    <row r="130" spans="3:15">
      <c r="C130" s="1806">
        <v>2831002</v>
      </c>
      <c r="D130"/>
      <c r="E130" s="1806">
        <v>7559</v>
      </c>
      <c r="F130"/>
      <c r="G130" s="777" t="s">
        <v>1722</v>
      </c>
      <c r="H130" s="779">
        <v>-15079.24</v>
      </c>
      <c r="I130" s="1806" t="s">
        <v>291</v>
      </c>
      <c r="J130" s="761">
        <f t="shared" si="21"/>
        <v>-15079.24</v>
      </c>
      <c r="K130" s="761"/>
      <c r="L130" s="761"/>
      <c r="M130" s="781"/>
      <c r="N130" s="781"/>
      <c r="O130" s="761"/>
    </row>
    <row r="131" spans="3:15">
      <c r="C131" s="1806">
        <v>2831002</v>
      </c>
      <c r="D131"/>
      <c r="E131" s="1806">
        <v>7571</v>
      </c>
      <c r="F131"/>
      <c r="G131" s="777" t="s">
        <v>1723</v>
      </c>
      <c r="H131" s="779">
        <v>-176488.25</v>
      </c>
      <c r="I131" s="1806" t="s">
        <v>158</v>
      </c>
      <c r="J131" s="761"/>
      <c r="K131" s="761"/>
      <c r="L131" s="761">
        <f>H131</f>
        <v>-176488.25</v>
      </c>
      <c r="M131" s="781"/>
      <c r="N131" s="781"/>
      <c r="O131" s="761"/>
    </row>
    <row r="132" spans="3:15">
      <c r="C132" s="1806">
        <v>2831002</v>
      </c>
      <c r="D132"/>
      <c r="E132" s="1806">
        <v>7575</v>
      </c>
      <c r="F132"/>
      <c r="G132" s="777" t="s">
        <v>1724</v>
      </c>
      <c r="H132" s="779">
        <v>-2034306.22</v>
      </c>
      <c r="I132" s="1806" t="s">
        <v>1864</v>
      </c>
      <c r="J132" s="761"/>
      <c r="K132" s="761"/>
      <c r="L132" s="761"/>
      <c r="M132" s="781"/>
      <c r="N132" s="781">
        <f>H132</f>
        <v>-2034306.22</v>
      </c>
      <c r="O132" s="761"/>
    </row>
    <row r="133" spans="3:15">
      <c r="C133" s="1806">
        <v>2831002</v>
      </c>
      <c r="D133"/>
      <c r="E133" s="1806">
        <v>7577</v>
      </c>
      <c r="F133"/>
      <c r="G133" s="777" t="s">
        <v>1747</v>
      </c>
      <c r="H133" s="779">
        <v>153609.98000000001</v>
      </c>
      <c r="I133" s="1806" t="s">
        <v>291</v>
      </c>
      <c r="J133" s="761">
        <f t="shared" si="21"/>
        <v>153609.98000000001</v>
      </c>
      <c r="K133" s="761"/>
      <c r="L133" s="761"/>
      <c r="M133" s="781"/>
      <c r="N133" s="781"/>
      <c r="O133" s="761"/>
    </row>
    <row r="134" spans="3:15">
      <c r="C134" s="1806">
        <v>2831002</v>
      </c>
      <c r="D134"/>
      <c r="E134" s="1806">
        <v>7580</v>
      </c>
      <c r="F134"/>
      <c r="G134" s="777" t="s">
        <v>1748</v>
      </c>
      <c r="H134" s="779">
        <v>62407.14</v>
      </c>
      <c r="I134" s="1806" t="s">
        <v>1864</v>
      </c>
      <c r="J134" s="761"/>
      <c r="K134" s="761"/>
      <c r="L134" s="761"/>
      <c r="M134" s="781"/>
      <c r="N134" s="781">
        <f>H134</f>
        <v>62407.14</v>
      </c>
      <c r="O134" s="761"/>
    </row>
    <row r="135" spans="3:15">
      <c r="C135" s="1806">
        <v>2831002</v>
      </c>
      <c r="D135"/>
      <c r="E135" s="1806">
        <v>7581</v>
      </c>
      <c r="F135"/>
      <c r="G135" s="777" t="s">
        <v>1749</v>
      </c>
      <c r="H135" s="779">
        <v>4855755.05</v>
      </c>
      <c r="I135" s="1806" t="s">
        <v>291</v>
      </c>
      <c r="J135" s="761">
        <f t="shared" si="21"/>
        <v>4855755.05</v>
      </c>
      <c r="K135" s="761"/>
      <c r="L135" s="761"/>
      <c r="M135" s="781"/>
      <c r="N135" s="781"/>
      <c r="O135" s="761"/>
    </row>
    <row r="136" spans="3:15">
      <c r="C136" s="1806">
        <v>2831002</v>
      </c>
      <c r="D136"/>
      <c r="E136" s="1806">
        <v>7583</v>
      </c>
      <c r="F136"/>
      <c r="G136" s="777" t="s">
        <v>1725</v>
      </c>
      <c r="H136" s="779">
        <v>0.16</v>
      </c>
      <c r="I136" s="1806" t="s">
        <v>291</v>
      </c>
      <c r="J136" s="761">
        <f t="shared" si="21"/>
        <v>0.16</v>
      </c>
      <c r="K136" s="761"/>
      <c r="L136" s="761"/>
      <c r="M136" s="781"/>
      <c r="N136" s="781"/>
      <c r="O136" s="761"/>
    </row>
    <row r="137" spans="3:15">
      <c r="C137" s="1806">
        <v>2831002</v>
      </c>
      <c r="D137"/>
      <c r="E137" s="1806">
        <v>7584</v>
      </c>
      <c r="F137"/>
      <c r="G137" s="777" t="s">
        <v>1750</v>
      </c>
      <c r="H137" s="779">
        <v>4474338.26</v>
      </c>
      <c r="I137" s="1806" t="s">
        <v>291</v>
      </c>
      <c r="J137" s="761">
        <f t="shared" si="21"/>
        <v>4474338.26</v>
      </c>
      <c r="K137" s="761"/>
      <c r="L137" s="761"/>
      <c r="M137" s="781"/>
      <c r="N137" s="781"/>
      <c r="O137" s="761"/>
    </row>
    <row r="138" spans="3:15">
      <c r="C138" s="1806">
        <v>2831002</v>
      </c>
      <c r="D138"/>
      <c r="E138" s="1806">
        <v>7585</v>
      </c>
      <c r="F138"/>
      <c r="G138" s="777" t="s">
        <v>1690</v>
      </c>
      <c r="H138" s="779">
        <v>-4232368.05</v>
      </c>
      <c r="I138" s="1806" t="s">
        <v>291</v>
      </c>
      <c r="J138" s="761">
        <f t="shared" si="21"/>
        <v>-4232368.05</v>
      </c>
      <c r="K138" s="761"/>
      <c r="L138" s="761"/>
      <c r="M138" s="781"/>
      <c r="N138" s="781"/>
      <c r="O138" s="761"/>
    </row>
    <row r="139" spans="3:15">
      <c r="C139" s="1806">
        <v>2831002</v>
      </c>
      <c r="D139"/>
      <c r="E139" s="1806">
        <v>8016</v>
      </c>
      <c r="F139"/>
      <c r="G139" s="777" t="s">
        <v>1751</v>
      </c>
      <c r="H139" s="779">
        <v>57925.61</v>
      </c>
      <c r="I139" s="1806" t="s">
        <v>291</v>
      </c>
      <c r="J139" s="761">
        <f t="shared" si="21"/>
        <v>57925.61</v>
      </c>
      <c r="K139" s="761"/>
      <c r="L139" s="761"/>
      <c r="M139" s="781"/>
      <c r="N139" s="781"/>
      <c r="O139" s="761"/>
    </row>
    <row r="140" spans="3:15">
      <c r="C140" s="1806">
        <v>2831002</v>
      </c>
      <c r="D140"/>
      <c r="E140" s="1806">
        <v>8018</v>
      </c>
      <c r="F140"/>
      <c r="G140" s="777" t="s">
        <v>1752</v>
      </c>
      <c r="H140" s="779">
        <v>1245.44</v>
      </c>
      <c r="I140" s="1806" t="s">
        <v>291</v>
      </c>
      <c r="J140" s="761">
        <f t="shared" si="21"/>
        <v>1245.44</v>
      </c>
      <c r="K140" s="761"/>
      <c r="L140" s="761"/>
      <c r="M140" s="781"/>
      <c r="N140" s="781"/>
      <c r="O140" s="761"/>
    </row>
    <row r="141" spans="3:15">
      <c r="C141" s="1806">
        <v>2831002</v>
      </c>
      <c r="D141"/>
      <c r="E141" s="1806">
        <v>8022</v>
      </c>
      <c r="F141"/>
      <c r="G141" s="777" t="s">
        <v>1753</v>
      </c>
      <c r="H141" s="779">
        <v>-176980.79</v>
      </c>
      <c r="I141" s="1806" t="s">
        <v>291</v>
      </c>
      <c r="J141" s="761">
        <f t="shared" si="21"/>
        <v>-176980.79</v>
      </c>
      <c r="K141" s="761"/>
      <c r="L141" s="761"/>
      <c r="M141" s="781"/>
      <c r="N141" s="781"/>
      <c r="O141" s="761"/>
    </row>
    <row r="142" spans="3:15">
      <c r="C142" s="1806">
        <v>2831002</v>
      </c>
      <c r="D142"/>
      <c r="E142" s="1806">
        <v>8023</v>
      </c>
      <c r="F142"/>
      <c r="G142" s="777" t="s">
        <v>1726</v>
      </c>
      <c r="H142" s="779">
        <v>-70366.38</v>
      </c>
      <c r="I142" s="1806" t="s">
        <v>291</v>
      </c>
      <c r="J142" s="761">
        <f t="shared" si="21"/>
        <v>-70366.38</v>
      </c>
      <c r="K142" s="761"/>
      <c r="L142" s="761"/>
      <c r="M142" s="781"/>
      <c r="N142" s="781"/>
      <c r="O142" s="761"/>
    </row>
    <row r="143" spans="3:15">
      <c r="C143" s="1806">
        <v>2831002</v>
      </c>
      <c r="D143"/>
      <c r="E143" s="1806">
        <v>8053</v>
      </c>
      <c r="F143"/>
      <c r="G143" s="777" t="s">
        <v>1727</v>
      </c>
      <c r="H143" s="779">
        <v>762331.38</v>
      </c>
      <c r="I143" s="1806" t="s">
        <v>291</v>
      </c>
      <c r="J143" s="761">
        <f t="shared" si="21"/>
        <v>762331.38</v>
      </c>
      <c r="K143" s="761"/>
      <c r="L143" s="761"/>
      <c r="M143" s="781"/>
      <c r="N143" s="781"/>
      <c r="O143" s="761"/>
    </row>
    <row r="144" spans="3:15">
      <c r="C144" s="1806">
        <v>2831002</v>
      </c>
      <c r="D144"/>
      <c r="E144" s="1806">
        <v>8060</v>
      </c>
      <c r="F144"/>
      <c r="G144" s="777" t="s">
        <v>1692</v>
      </c>
      <c r="H144" s="779">
        <v>-0.03</v>
      </c>
      <c r="I144" s="1806" t="s">
        <v>300</v>
      </c>
      <c r="J144" s="761"/>
      <c r="K144" s="761"/>
      <c r="L144" s="761"/>
      <c r="M144" s="781"/>
      <c r="N144" s="781">
        <f>H144</f>
        <v>-0.03</v>
      </c>
      <c r="O144" s="761"/>
    </row>
    <row r="145" spans="3:16">
      <c r="C145" s="1806">
        <v>2831002</v>
      </c>
      <c r="D145"/>
      <c r="E145" s="1806">
        <v>8062</v>
      </c>
      <c r="F145"/>
      <c r="G145" s="777" t="s">
        <v>1754</v>
      </c>
      <c r="H145" s="779">
        <v>7047.16</v>
      </c>
      <c r="I145" s="1806" t="s">
        <v>1864</v>
      </c>
      <c r="J145" s="761"/>
      <c r="K145" s="761"/>
      <c r="L145" s="761"/>
      <c r="M145" s="781"/>
      <c r="N145" s="781">
        <f>H145</f>
        <v>7047.16</v>
      </c>
      <c r="O145" s="761"/>
    </row>
    <row r="146" spans="3:16">
      <c r="C146" s="785"/>
      <c r="D146" s="783"/>
      <c r="E146" s="785"/>
      <c r="G146" s="785"/>
      <c r="H146" s="786"/>
      <c r="I146" s="784"/>
      <c r="J146" s="781" t="str">
        <f t="shared" ref="J146" si="22">IF(I146="e",H146," ")</f>
        <v xml:space="preserve"> </v>
      </c>
      <c r="K146" s="761" t="str">
        <f t="shared" si="9"/>
        <v xml:space="preserve"> </v>
      </c>
      <c r="L146" s="761" t="str">
        <f t="shared" si="10"/>
        <v xml:space="preserve"> </v>
      </c>
      <c r="M146" s="781" t="str">
        <f t="shared" si="11"/>
        <v xml:space="preserve"> </v>
      </c>
      <c r="N146" s="781" t="str">
        <f t="shared" ref="N146" si="23">IF(I146="Labor",H146," ")</f>
        <v xml:space="preserve"> </v>
      </c>
    </row>
    <row r="147" spans="3:16">
      <c r="D147" s="12"/>
      <c r="H147" s="761"/>
      <c r="I147" s="761"/>
      <c r="J147" s="793" t="str">
        <f>IF(I147="e",H147," ")</f>
        <v xml:space="preserve"> </v>
      </c>
      <c r="K147" s="793"/>
      <c r="L147" s="793" t="str">
        <f>IF($I147="PTD",$H147," ")</f>
        <v xml:space="preserve"> </v>
      </c>
      <c r="M147" s="793" t="str">
        <f>IF($I147="T&amp;D",$H147," ")</f>
        <v xml:space="preserve"> </v>
      </c>
      <c r="N147" s="793" t="str">
        <f>IF(I147="Labor",H147," ")</f>
        <v xml:space="preserve"> </v>
      </c>
    </row>
    <row r="148" spans="3:16" ht="13">
      <c r="C148" s="33">
        <v>283.10000000000002</v>
      </c>
      <c r="D148" s="12"/>
      <c r="G148" s="561" t="s">
        <v>159</v>
      </c>
      <c r="H148" s="801">
        <f>SUM(H33:H147)</f>
        <v>-305950466.66000009</v>
      </c>
      <c r="I148" s="761"/>
      <c r="J148" s="801">
        <f>SUM(J33:J147)</f>
        <v>-50820053.540000014</v>
      </c>
      <c r="K148" s="801">
        <f>SUM(K33:K147)</f>
        <v>0</v>
      </c>
      <c r="L148" s="801">
        <f>SUM(L33:L147)</f>
        <v>-232491909.51999998</v>
      </c>
      <c r="M148" s="801">
        <f>SUM(M33:M147)</f>
        <v>0</v>
      </c>
      <c r="N148" s="801">
        <f>SUM(N33:N147)</f>
        <v>-22638503.599999998</v>
      </c>
      <c r="O148" s="782">
        <f>SUM(J148:N148)</f>
        <v>-305950466.66000003</v>
      </c>
      <c r="P148" s="761">
        <f>O148-H148</f>
        <v>0</v>
      </c>
    </row>
    <row r="149" spans="3:16" ht="25.5" customHeight="1">
      <c r="C149" s="802"/>
      <c r="D149" s="12"/>
      <c r="G149" s="791" t="s">
        <v>110</v>
      </c>
      <c r="H149" s="786">
        <v>-305950467</v>
      </c>
      <c r="I149"/>
      <c r="J149" s="792"/>
      <c r="K149" s="803"/>
      <c r="L149" s="803"/>
      <c r="M149" s="803"/>
      <c r="N149" s="803"/>
    </row>
    <row r="150" spans="3:16">
      <c r="G150" s="804"/>
      <c r="H150" s="793"/>
      <c r="I150" s="761"/>
      <c r="J150" s="761"/>
      <c r="K150" s="761"/>
      <c r="L150" s="761"/>
      <c r="M150" s="761"/>
      <c r="N150" s="761"/>
    </row>
    <row r="151" spans="3:16">
      <c r="H151" s="793"/>
      <c r="I151" s="761"/>
      <c r="J151" s="761"/>
      <c r="K151" s="761"/>
      <c r="L151" s="761"/>
      <c r="M151" s="761"/>
      <c r="N151" s="761"/>
    </row>
    <row r="152" spans="3:16">
      <c r="C152" s="1806">
        <v>1901001</v>
      </c>
      <c r="D152" s="805" t="s">
        <v>337</v>
      </c>
      <c r="E152" s="1806">
        <v>3091</v>
      </c>
      <c r="F152" s="778"/>
      <c r="G152" s="777" t="s">
        <v>1761</v>
      </c>
      <c r="H152" s="779">
        <v>26501923.739999998</v>
      </c>
      <c r="I152" s="780" t="s">
        <v>291</v>
      </c>
      <c r="J152" s="781">
        <f t="shared" ref="J152:J232" si="24">IF(I152="e",H152," ")</f>
        <v>26501923.739999998</v>
      </c>
      <c r="K152" s="761" t="str">
        <f t="shared" ref="K152:K234" si="25">IF($I152="T",$H152," ")</f>
        <v xml:space="preserve"> </v>
      </c>
      <c r="L152" s="761" t="str">
        <f t="shared" ref="L152:L234" si="26">IF($I152="PTD",$H152," ")</f>
        <v xml:space="preserve"> </v>
      </c>
      <c r="M152" s="781" t="str">
        <f t="shared" ref="M152:M234" si="27">IF($I152="T&amp;D",$H152," ")</f>
        <v xml:space="preserve"> </v>
      </c>
      <c r="N152" s="781" t="str">
        <f t="shared" ref="N152:N232" si="28">IF(I152="Labor",H152," ")</f>
        <v xml:space="preserve"> </v>
      </c>
      <c r="O152" s="804"/>
    </row>
    <row r="153" spans="3:16">
      <c r="C153" s="1806">
        <v>1901001</v>
      </c>
      <c r="D153" s="805" t="s">
        <v>337</v>
      </c>
      <c r="E153" s="1806">
        <v>3501</v>
      </c>
      <c r="F153" s="778"/>
      <c r="G153" s="777" t="s">
        <v>1755</v>
      </c>
      <c r="H153" s="779">
        <v>0</v>
      </c>
      <c r="I153" s="780" t="s">
        <v>291</v>
      </c>
      <c r="J153" s="781">
        <f t="shared" ref="J153:J230" si="29">IF(I153="e",H153," ")</f>
        <v>0</v>
      </c>
      <c r="K153" s="761" t="str">
        <f t="shared" si="25"/>
        <v xml:space="preserve"> </v>
      </c>
      <c r="L153" s="761" t="str">
        <f t="shared" si="26"/>
        <v xml:space="preserve"> </v>
      </c>
      <c r="M153" s="781" t="str">
        <f t="shared" si="27"/>
        <v xml:space="preserve"> </v>
      </c>
      <c r="N153" s="781" t="str">
        <f t="shared" ref="N153:N214" si="30">IF(I153="Labor",H153," ")</f>
        <v xml:space="preserve"> </v>
      </c>
      <c r="O153" s="804"/>
    </row>
    <row r="154" spans="3:16">
      <c r="C154" s="1806">
        <v>1901001</v>
      </c>
      <c r="D154" s="805" t="s">
        <v>337</v>
      </c>
      <c r="E154" s="1806">
        <v>3508</v>
      </c>
      <c r="F154" s="778"/>
      <c r="G154" s="777" t="s">
        <v>1756</v>
      </c>
      <c r="H154" s="779">
        <v>8811948.1999999993</v>
      </c>
      <c r="I154" s="780" t="s">
        <v>291</v>
      </c>
      <c r="J154" s="781">
        <f t="shared" si="29"/>
        <v>8811948.1999999993</v>
      </c>
      <c r="K154" s="761" t="str">
        <f t="shared" si="25"/>
        <v xml:space="preserve"> </v>
      </c>
      <c r="L154" s="761" t="str">
        <f t="shared" si="26"/>
        <v xml:space="preserve"> </v>
      </c>
      <c r="M154" s="781" t="str">
        <f t="shared" si="27"/>
        <v xml:space="preserve"> </v>
      </c>
      <c r="N154" s="781" t="str">
        <f t="shared" si="30"/>
        <v xml:space="preserve"> </v>
      </c>
      <c r="O154" s="804"/>
    </row>
    <row r="155" spans="3:16">
      <c r="C155" s="1806">
        <v>1901001</v>
      </c>
      <c r="D155" s="805"/>
      <c r="E155" s="1806">
        <v>4041</v>
      </c>
      <c r="F155" s="778"/>
      <c r="G155" s="777" t="s">
        <v>1757</v>
      </c>
      <c r="H155" s="779">
        <v>0</v>
      </c>
      <c r="I155" s="780" t="s">
        <v>158</v>
      </c>
      <c r="J155" s="781"/>
      <c r="K155" s="761"/>
      <c r="L155" s="761">
        <f>H155</f>
        <v>0</v>
      </c>
      <c r="M155" s="781"/>
      <c r="N155" s="781"/>
      <c r="O155" s="804"/>
    </row>
    <row r="156" spans="3:16">
      <c r="C156" s="1806">
        <v>1901001</v>
      </c>
      <c r="D156" s="805"/>
      <c r="E156" s="1806">
        <v>6002</v>
      </c>
      <c r="F156" s="778"/>
      <c r="G156" s="777" t="s">
        <v>1676</v>
      </c>
      <c r="H156" s="779">
        <v>438831.15</v>
      </c>
      <c r="I156" s="780" t="s">
        <v>291</v>
      </c>
      <c r="J156" s="781">
        <f>H156</f>
        <v>438831.15</v>
      </c>
      <c r="K156" s="761"/>
      <c r="L156" s="761"/>
      <c r="M156" s="781"/>
      <c r="N156" s="781"/>
      <c r="O156" s="804"/>
    </row>
    <row r="157" spans="3:16">
      <c r="C157" s="1806">
        <v>1901001</v>
      </c>
      <c r="D157" s="805"/>
      <c r="E157" s="1806">
        <v>6004</v>
      </c>
      <c r="F157" s="778"/>
      <c r="G157" s="777" t="s">
        <v>1677</v>
      </c>
      <c r="H157" s="779">
        <v>525116.62</v>
      </c>
      <c r="I157" s="780" t="s">
        <v>291</v>
      </c>
      <c r="J157" s="781">
        <f>H157</f>
        <v>525116.62</v>
      </c>
      <c r="K157" s="761"/>
      <c r="L157" s="761"/>
      <c r="M157" s="781"/>
      <c r="N157" s="781"/>
      <c r="O157" s="804"/>
    </row>
    <row r="158" spans="3:16">
      <c r="C158" s="1806">
        <v>1901001</v>
      </c>
      <c r="D158" s="805"/>
      <c r="E158" s="1806">
        <v>6006</v>
      </c>
      <c r="F158" s="778"/>
      <c r="G158" s="777" t="s">
        <v>1678</v>
      </c>
      <c r="H158" s="779">
        <v>-6635.93</v>
      </c>
      <c r="I158" s="780" t="s">
        <v>158</v>
      </c>
      <c r="J158" s="781"/>
      <c r="K158" s="761"/>
      <c r="L158" s="761">
        <f t="shared" ref="L158:L161" si="31">H158</f>
        <v>-6635.93</v>
      </c>
      <c r="M158" s="781"/>
      <c r="N158" s="781"/>
      <c r="O158" s="804"/>
    </row>
    <row r="159" spans="3:16">
      <c r="C159" s="1806">
        <v>1901001</v>
      </c>
      <c r="D159" s="805"/>
      <c r="E159" s="1806">
        <v>6007</v>
      </c>
      <c r="F159" s="778"/>
      <c r="G159" s="777" t="s">
        <v>1679</v>
      </c>
      <c r="H159" s="779">
        <v>-658745.27</v>
      </c>
      <c r="I159" s="780" t="s">
        <v>158</v>
      </c>
      <c r="J159" s="781"/>
      <c r="K159" s="761"/>
      <c r="L159" s="761">
        <f t="shared" si="31"/>
        <v>-658745.27</v>
      </c>
      <c r="M159" s="781"/>
      <c r="N159" s="781"/>
      <c r="O159" s="804"/>
    </row>
    <row r="160" spans="3:16">
      <c r="C160" s="1806">
        <v>1901001</v>
      </c>
      <c r="D160" s="805"/>
      <c r="E160" s="1806">
        <v>6009</v>
      </c>
      <c r="F160" s="778"/>
      <c r="G160" s="777" t="s">
        <v>1680</v>
      </c>
      <c r="H160" s="779">
        <v>4367960.62</v>
      </c>
      <c r="I160" s="780" t="s">
        <v>158</v>
      </c>
      <c r="J160" s="781"/>
      <c r="K160" s="761"/>
      <c r="L160" s="761">
        <f t="shared" si="31"/>
        <v>4367960.62</v>
      </c>
      <c r="M160" s="781"/>
      <c r="N160" s="781"/>
      <c r="O160" s="804"/>
    </row>
    <row r="161" spans="3:15">
      <c r="C161" s="1806">
        <v>1901001</v>
      </c>
      <c r="D161" s="805"/>
      <c r="E161" s="1806">
        <v>6011</v>
      </c>
      <c r="F161" s="778"/>
      <c r="G161" s="777" t="s">
        <v>1681</v>
      </c>
      <c r="H161" s="779">
        <v>-738673.57</v>
      </c>
      <c r="I161" s="780" t="s">
        <v>158</v>
      </c>
      <c r="J161" s="781"/>
      <c r="K161" s="761"/>
      <c r="L161" s="761">
        <f t="shared" si="31"/>
        <v>-738673.57</v>
      </c>
      <c r="M161" s="781"/>
      <c r="N161" s="781"/>
      <c r="O161" s="804"/>
    </row>
    <row r="162" spans="3:15">
      <c r="C162" s="1806">
        <v>1901001</v>
      </c>
      <c r="D162" s="805"/>
      <c r="E162" s="1806">
        <v>6018</v>
      </c>
      <c r="F162" s="778"/>
      <c r="G162" s="777" t="s">
        <v>1682</v>
      </c>
      <c r="H162" s="779">
        <v>21881980.609999999</v>
      </c>
      <c r="I162" s="780" t="s">
        <v>158</v>
      </c>
      <c r="J162" s="781"/>
      <c r="K162" s="761"/>
      <c r="L162" s="761">
        <f>H162</f>
        <v>21881980.609999999</v>
      </c>
      <c r="M162" s="781"/>
      <c r="N162" s="781"/>
      <c r="O162" s="804"/>
    </row>
    <row r="163" spans="3:15">
      <c r="C163" s="1806">
        <v>1901001</v>
      </c>
      <c r="D163" s="805"/>
      <c r="E163" s="1806">
        <v>6020</v>
      </c>
      <c r="F163" s="778"/>
      <c r="G163" s="777" t="s">
        <v>1728</v>
      </c>
      <c r="H163" s="779">
        <v>553601.98</v>
      </c>
      <c r="I163" s="780" t="s">
        <v>158</v>
      </c>
      <c r="J163" s="781"/>
      <c r="K163" s="761"/>
      <c r="L163" s="761">
        <f>H163</f>
        <v>553601.98</v>
      </c>
      <c r="M163" s="781"/>
      <c r="N163" s="781"/>
      <c r="O163" s="804"/>
    </row>
    <row r="164" spans="3:15">
      <c r="C164" s="1806">
        <v>1901001</v>
      </c>
      <c r="D164" s="805"/>
      <c r="E164" s="1806">
        <v>6021</v>
      </c>
      <c r="F164" s="778"/>
      <c r="G164" s="777" t="s">
        <v>1684</v>
      </c>
      <c r="H164" s="779">
        <v>88999.9</v>
      </c>
      <c r="I164" s="780" t="s">
        <v>291</v>
      </c>
      <c r="J164" s="781">
        <f>H164</f>
        <v>88999.9</v>
      </c>
      <c r="K164" s="761"/>
      <c r="L164" s="761"/>
      <c r="M164" s="781"/>
      <c r="N164" s="781"/>
      <c r="O164" s="804"/>
    </row>
    <row r="165" spans="3:15">
      <c r="C165" s="1806">
        <v>1901001</v>
      </c>
      <c r="D165" s="805"/>
      <c r="E165" s="1806">
        <v>6022</v>
      </c>
      <c r="F165" s="778"/>
      <c r="G165" s="777" t="s">
        <v>1685</v>
      </c>
      <c r="H165" s="779">
        <v>795602.72</v>
      </c>
      <c r="I165" s="780" t="s">
        <v>291</v>
      </c>
      <c r="J165" s="781">
        <f>H165</f>
        <v>795602.72</v>
      </c>
      <c r="K165" s="761"/>
      <c r="L165" s="761"/>
      <c r="M165" s="781"/>
      <c r="N165" s="781"/>
      <c r="O165" s="804"/>
    </row>
    <row r="166" spans="3:15">
      <c r="C166" s="1806">
        <v>1901001</v>
      </c>
      <c r="D166" s="805"/>
      <c r="E166" s="1806">
        <v>6024</v>
      </c>
      <c r="F166" s="778"/>
      <c r="G166" s="777" t="s">
        <v>1686</v>
      </c>
      <c r="H166" s="779">
        <v>8725514.4000000004</v>
      </c>
      <c r="I166" s="780" t="s">
        <v>158</v>
      </c>
      <c r="J166" s="781"/>
      <c r="K166" s="761"/>
      <c r="L166" s="761">
        <f>H166</f>
        <v>8725514.4000000004</v>
      </c>
      <c r="M166" s="781"/>
      <c r="N166" s="781"/>
      <c r="O166" s="804"/>
    </row>
    <row r="167" spans="3:15">
      <c r="C167" s="1806">
        <v>1901001</v>
      </c>
      <c r="D167" s="805"/>
      <c r="E167" s="1806">
        <v>6026</v>
      </c>
      <c r="F167" s="778"/>
      <c r="G167" s="777" t="s">
        <v>1687</v>
      </c>
      <c r="H167" s="779">
        <v>-927.5</v>
      </c>
      <c r="I167" s="780" t="s">
        <v>158</v>
      </c>
      <c r="J167" s="781"/>
      <c r="K167" s="761"/>
      <c r="L167" s="761">
        <f>H167</f>
        <v>-927.5</v>
      </c>
      <c r="M167" s="781"/>
      <c r="N167" s="781"/>
      <c r="O167" s="804"/>
    </row>
    <row r="168" spans="3:15">
      <c r="C168" s="1806">
        <v>1901001</v>
      </c>
      <c r="D168" s="805"/>
      <c r="E168" s="1806">
        <v>6503</v>
      </c>
      <c r="F168" s="778"/>
      <c r="G168" s="777" t="s">
        <v>1688</v>
      </c>
      <c r="H168" s="779">
        <v>0.01</v>
      </c>
      <c r="I168" s="780" t="s">
        <v>291</v>
      </c>
      <c r="J168" s="781">
        <f>H168</f>
        <v>0.01</v>
      </c>
      <c r="K168" s="761"/>
      <c r="L168" s="761"/>
      <c r="M168" s="781"/>
      <c r="N168" s="781"/>
      <c r="O168" s="804"/>
    </row>
    <row r="169" spans="3:15">
      <c r="C169" s="1806">
        <v>1901001</v>
      </c>
      <c r="D169" s="805"/>
      <c r="E169" s="1806">
        <v>6523</v>
      </c>
      <c r="F169" s="778"/>
      <c r="G169" s="777" t="s">
        <v>1689</v>
      </c>
      <c r="H169" s="779">
        <v>-315050.57</v>
      </c>
      <c r="I169" s="780" t="s">
        <v>300</v>
      </c>
      <c r="J169" s="781"/>
      <c r="K169" s="761"/>
      <c r="L169" s="761"/>
      <c r="M169" s="781"/>
      <c r="N169" s="781">
        <f>H169</f>
        <v>-315050.57</v>
      </c>
      <c r="O169" s="804"/>
    </row>
    <row r="170" spans="3:15">
      <c r="C170" s="1806">
        <v>1901001</v>
      </c>
      <c r="D170" s="805" t="s">
        <v>337</v>
      </c>
      <c r="E170" s="1806">
        <v>7002</v>
      </c>
      <c r="F170" s="778"/>
      <c r="G170" s="777" t="s">
        <v>1759</v>
      </c>
      <c r="H170" s="779">
        <v>1880278.93</v>
      </c>
      <c r="I170" s="780" t="s">
        <v>158</v>
      </c>
      <c r="J170" s="781" t="str">
        <f t="shared" si="29"/>
        <v xml:space="preserve"> </v>
      </c>
      <c r="K170" s="761" t="str">
        <f t="shared" si="25"/>
        <v xml:space="preserve"> </v>
      </c>
      <c r="L170" s="761">
        <f t="shared" si="26"/>
        <v>1880278.93</v>
      </c>
      <c r="M170" s="781" t="str">
        <f t="shared" si="27"/>
        <v xml:space="preserve"> </v>
      </c>
      <c r="N170" s="781" t="str">
        <f t="shared" si="30"/>
        <v xml:space="preserve"> </v>
      </c>
      <c r="O170" s="804"/>
    </row>
    <row r="171" spans="3:15">
      <c r="C171" s="1806">
        <v>1901001</v>
      </c>
      <c r="D171" s="805" t="s">
        <v>337</v>
      </c>
      <c r="E171" s="1806">
        <v>7019</v>
      </c>
      <c r="F171" s="778"/>
      <c r="G171" s="777" t="s">
        <v>1729</v>
      </c>
      <c r="H171" s="779">
        <v>-13042467.59</v>
      </c>
      <c r="I171" s="780" t="s">
        <v>291</v>
      </c>
      <c r="J171" s="781">
        <f t="shared" si="29"/>
        <v>-13042467.59</v>
      </c>
      <c r="K171" s="761" t="str">
        <f t="shared" si="25"/>
        <v xml:space="preserve"> </v>
      </c>
      <c r="L171" s="761" t="str">
        <f t="shared" si="26"/>
        <v xml:space="preserve"> </v>
      </c>
      <c r="M171" s="781" t="str">
        <f t="shared" si="27"/>
        <v xml:space="preserve"> </v>
      </c>
      <c r="N171" s="781" t="str">
        <f t="shared" si="30"/>
        <v xml:space="preserve"> </v>
      </c>
      <c r="O171" s="804"/>
    </row>
    <row r="172" spans="3:15">
      <c r="C172" s="1806">
        <v>1901001</v>
      </c>
      <c r="D172" s="805" t="s">
        <v>337</v>
      </c>
      <c r="E172" s="1806">
        <v>7021</v>
      </c>
      <c r="F172" s="778"/>
      <c r="G172" s="777" t="s">
        <v>1730</v>
      </c>
      <c r="H172" s="779">
        <v>2199612.84</v>
      </c>
      <c r="I172" s="780" t="s">
        <v>291</v>
      </c>
      <c r="J172" s="781">
        <f t="shared" si="29"/>
        <v>2199612.84</v>
      </c>
      <c r="K172" s="761" t="str">
        <f t="shared" si="25"/>
        <v xml:space="preserve"> </v>
      </c>
      <c r="L172" s="761" t="str">
        <f t="shared" si="26"/>
        <v xml:space="preserve"> </v>
      </c>
      <c r="M172" s="781" t="str">
        <f t="shared" si="27"/>
        <v xml:space="preserve"> </v>
      </c>
      <c r="N172" s="781" t="str">
        <f t="shared" si="30"/>
        <v xml:space="preserve"> </v>
      </c>
      <c r="O172" s="804"/>
    </row>
    <row r="173" spans="3:15">
      <c r="C173" s="1806">
        <v>1901001</v>
      </c>
      <c r="D173" s="805"/>
      <c r="E173" s="1806">
        <v>7026</v>
      </c>
      <c r="F173" s="778"/>
      <c r="G173" s="777" t="s">
        <v>1699</v>
      </c>
      <c r="H173" s="779">
        <v>-30575.7</v>
      </c>
      <c r="I173" s="780" t="s">
        <v>291</v>
      </c>
      <c r="J173" s="781">
        <f t="shared" si="29"/>
        <v>-30575.7</v>
      </c>
      <c r="K173" s="761" t="str">
        <f t="shared" si="25"/>
        <v xml:space="preserve"> </v>
      </c>
      <c r="L173" s="761" t="str">
        <f t="shared" si="26"/>
        <v xml:space="preserve"> </v>
      </c>
      <c r="M173" s="781" t="str">
        <f t="shared" si="27"/>
        <v xml:space="preserve"> </v>
      </c>
      <c r="N173" s="781" t="str">
        <f t="shared" si="30"/>
        <v xml:space="preserve"> </v>
      </c>
      <c r="O173" s="804"/>
    </row>
    <row r="174" spans="3:15">
      <c r="C174" s="1806">
        <v>1901001</v>
      </c>
      <c r="D174" s="805"/>
      <c r="E174" s="1806">
        <v>7027</v>
      </c>
      <c r="F174" s="778"/>
      <c r="G174" s="777" t="s">
        <v>1731</v>
      </c>
      <c r="H174" s="779">
        <v>-380835.72</v>
      </c>
      <c r="I174" s="780" t="s">
        <v>300</v>
      </c>
      <c r="J174" s="781"/>
      <c r="K174" s="761"/>
      <c r="L174" s="761"/>
      <c r="M174" s="781"/>
      <c r="N174" s="781">
        <f>H174</f>
        <v>-380835.72</v>
      </c>
      <c r="O174" s="804"/>
    </row>
    <row r="175" spans="3:15">
      <c r="C175" s="1806">
        <v>1901001</v>
      </c>
      <c r="D175" s="805"/>
      <c r="E175" s="1806">
        <v>7029</v>
      </c>
      <c r="F175" s="778"/>
      <c r="G175" s="777" t="s">
        <v>1732</v>
      </c>
      <c r="H175" s="779">
        <v>148958.07999999999</v>
      </c>
      <c r="I175" s="780" t="s">
        <v>300</v>
      </c>
      <c r="J175" s="781"/>
      <c r="K175" s="761"/>
      <c r="L175" s="761"/>
      <c r="M175" s="781"/>
      <c r="N175" s="781">
        <f>H175</f>
        <v>148958.07999999999</v>
      </c>
      <c r="O175" s="804"/>
    </row>
    <row r="176" spans="3:15">
      <c r="C176" s="1806">
        <v>1901001</v>
      </c>
      <c r="D176" s="805"/>
      <c r="E176" s="1806">
        <v>7032</v>
      </c>
      <c r="F176" s="778"/>
      <c r="G176" s="777" t="s">
        <v>1700</v>
      </c>
      <c r="H176" s="779">
        <v>517093.26</v>
      </c>
      <c r="I176" s="780" t="s">
        <v>300</v>
      </c>
      <c r="J176" s="781"/>
      <c r="K176" s="761"/>
      <c r="L176" s="761"/>
      <c r="M176" s="781"/>
      <c r="N176" s="781">
        <f>H176</f>
        <v>517093.26</v>
      </c>
      <c r="O176" s="804"/>
    </row>
    <row r="177" spans="3:15">
      <c r="C177" s="1806">
        <v>1901001</v>
      </c>
      <c r="D177" s="805"/>
      <c r="E177" s="1806">
        <v>7033</v>
      </c>
      <c r="F177" s="778"/>
      <c r="G177" s="777" t="s">
        <v>1701</v>
      </c>
      <c r="H177" s="779">
        <v>-448378.09</v>
      </c>
      <c r="I177" s="780" t="s">
        <v>291</v>
      </c>
      <c r="J177" s="781">
        <f>H177</f>
        <v>-448378.09</v>
      </c>
      <c r="K177" s="761"/>
      <c r="L177" s="761"/>
      <c r="M177" s="781"/>
      <c r="N177" s="781"/>
      <c r="O177" s="804"/>
    </row>
    <row r="178" spans="3:15">
      <c r="C178" s="1806">
        <v>1901001</v>
      </c>
      <c r="D178" s="805"/>
      <c r="E178" s="1806">
        <v>7034</v>
      </c>
      <c r="F178" s="778"/>
      <c r="G178" s="777" t="s">
        <v>1733</v>
      </c>
      <c r="H178" s="779">
        <v>240221.89</v>
      </c>
      <c r="I178" s="780" t="s">
        <v>291</v>
      </c>
      <c r="J178" s="781"/>
      <c r="K178" s="761"/>
      <c r="L178" s="761">
        <f>H178</f>
        <v>240221.89</v>
      </c>
      <c r="M178" s="781"/>
      <c r="N178" s="781"/>
      <c r="O178" s="804"/>
    </row>
    <row r="179" spans="3:15">
      <c r="C179" s="1806">
        <v>1901001</v>
      </c>
      <c r="D179" s="805"/>
      <c r="E179" s="1806">
        <v>7035</v>
      </c>
      <c r="F179" s="778"/>
      <c r="G179" s="777" t="s">
        <v>1734</v>
      </c>
      <c r="H179" s="779">
        <v>40739.68</v>
      </c>
      <c r="I179" s="780" t="s">
        <v>158</v>
      </c>
      <c r="J179" s="781"/>
      <c r="K179" s="761"/>
      <c r="L179" s="761">
        <f>H179</f>
        <v>40739.68</v>
      </c>
      <c r="M179" s="781"/>
      <c r="N179" s="781"/>
      <c r="O179" s="804"/>
    </row>
    <row r="180" spans="3:15">
      <c r="C180" s="1806">
        <v>1901001</v>
      </c>
      <c r="D180" s="805"/>
      <c r="E180" s="1806">
        <v>7036</v>
      </c>
      <c r="F180" s="778"/>
      <c r="G180" s="777" t="s">
        <v>1735</v>
      </c>
      <c r="H180" s="779">
        <v>12933.19</v>
      </c>
      <c r="I180" s="780" t="s">
        <v>158</v>
      </c>
      <c r="J180" s="781"/>
      <c r="K180" s="761"/>
      <c r="L180" s="761">
        <f>H180</f>
        <v>12933.19</v>
      </c>
      <c r="M180" s="781"/>
      <c r="N180" s="781"/>
      <c r="O180" s="804"/>
    </row>
    <row r="181" spans="3:15">
      <c r="C181" s="1806">
        <v>1901001</v>
      </c>
      <c r="D181" s="805" t="s">
        <v>337</v>
      </c>
      <c r="E181" s="1806">
        <v>7039</v>
      </c>
      <c r="F181" s="778"/>
      <c r="G181" s="777" t="s">
        <v>1736</v>
      </c>
      <c r="H181" s="779">
        <v>312765.34000000003</v>
      </c>
      <c r="I181" s="780" t="s">
        <v>291</v>
      </c>
      <c r="J181" s="781">
        <f t="shared" si="29"/>
        <v>312765.34000000003</v>
      </c>
      <c r="K181" s="761" t="str">
        <f t="shared" si="25"/>
        <v xml:space="preserve"> </v>
      </c>
      <c r="L181" s="761" t="str">
        <f t="shared" si="26"/>
        <v xml:space="preserve"> </v>
      </c>
      <c r="M181" s="781" t="str">
        <f t="shared" si="27"/>
        <v xml:space="preserve"> </v>
      </c>
      <c r="N181" s="781" t="str">
        <f t="shared" si="30"/>
        <v xml:space="preserve"> </v>
      </c>
      <c r="O181" s="804"/>
    </row>
    <row r="182" spans="3:15">
      <c r="C182" s="1806">
        <v>1901001</v>
      </c>
      <c r="D182" s="805"/>
      <c r="E182" s="1806">
        <v>7040</v>
      </c>
      <c r="F182" s="778"/>
      <c r="G182" s="777" t="s">
        <v>1737</v>
      </c>
      <c r="H182" s="779">
        <v>17532.95</v>
      </c>
      <c r="I182" s="780" t="s">
        <v>300</v>
      </c>
      <c r="J182" s="781" t="str">
        <f t="shared" si="29"/>
        <v xml:space="preserve"> </v>
      </c>
      <c r="K182" s="761" t="str">
        <f t="shared" si="25"/>
        <v xml:space="preserve"> </v>
      </c>
      <c r="L182" s="761" t="str">
        <f t="shared" si="26"/>
        <v xml:space="preserve"> </v>
      </c>
      <c r="M182" s="781" t="str">
        <f t="shared" si="27"/>
        <v xml:space="preserve"> </v>
      </c>
      <c r="N182" s="781">
        <f t="shared" si="30"/>
        <v>17532.95</v>
      </c>
      <c r="O182" s="804"/>
    </row>
    <row r="183" spans="3:15">
      <c r="C183" s="1806">
        <v>1901001</v>
      </c>
      <c r="D183" s="805" t="s">
        <v>337</v>
      </c>
      <c r="E183" s="1806">
        <v>7048</v>
      </c>
      <c r="F183" s="778"/>
      <c r="G183" s="777" t="s">
        <v>1738</v>
      </c>
      <c r="H183" s="779">
        <v>1370042.75</v>
      </c>
      <c r="I183" s="780" t="s">
        <v>300</v>
      </c>
      <c r="J183" s="781" t="str">
        <f t="shared" si="29"/>
        <v xml:space="preserve"> </v>
      </c>
      <c r="K183" s="761" t="str">
        <f t="shared" si="25"/>
        <v xml:space="preserve"> </v>
      </c>
      <c r="L183" s="761" t="str">
        <f t="shared" si="26"/>
        <v xml:space="preserve"> </v>
      </c>
      <c r="M183" s="781" t="str">
        <f t="shared" si="27"/>
        <v xml:space="preserve"> </v>
      </c>
      <c r="N183" s="781">
        <f t="shared" si="30"/>
        <v>1370042.75</v>
      </c>
      <c r="O183" s="804"/>
    </row>
    <row r="184" spans="3:15">
      <c r="C184" s="1806">
        <v>1901001</v>
      </c>
      <c r="D184" s="805"/>
      <c r="E184" s="1806">
        <v>7052</v>
      </c>
      <c r="F184" s="778"/>
      <c r="G184" s="777" t="s">
        <v>1739</v>
      </c>
      <c r="H184" s="779">
        <v>1867041.13</v>
      </c>
      <c r="I184" s="780" t="s">
        <v>300</v>
      </c>
      <c r="J184" s="781"/>
      <c r="K184" s="761"/>
      <c r="L184" s="761"/>
      <c r="M184" s="781"/>
      <c r="N184" s="781">
        <f>H184</f>
        <v>1867041.13</v>
      </c>
      <c r="O184" s="804"/>
    </row>
    <row r="185" spans="3:15">
      <c r="C185" s="1806">
        <v>1901001</v>
      </c>
      <c r="D185" s="805"/>
      <c r="E185" s="1806">
        <v>7053</v>
      </c>
      <c r="F185" s="778"/>
      <c r="G185" s="777" t="s">
        <v>1740</v>
      </c>
      <c r="H185" s="779">
        <v>30244.16</v>
      </c>
      <c r="I185" s="780" t="s">
        <v>291</v>
      </c>
      <c r="J185" s="781">
        <f>H185</f>
        <v>30244.16</v>
      </c>
      <c r="K185" s="761"/>
      <c r="L185" s="761"/>
      <c r="M185" s="781"/>
      <c r="N185" s="781"/>
      <c r="O185" s="804"/>
    </row>
    <row r="186" spans="3:15">
      <c r="C186" s="1806">
        <v>1901001</v>
      </c>
      <c r="D186" s="805" t="s">
        <v>337</v>
      </c>
      <c r="E186" s="1806">
        <v>7054</v>
      </c>
      <c r="F186" s="778"/>
      <c r="G186" s="777" t="s">
        <v>1741</v>
      </c>
      <c r="H186" s="779">
        <v>-19614.53</v>
      </c>
      <c r="I186" s="780" t="s">
        <v>291</v>
      </c>
      <c r="J186" s="781">
        <f t="shared" si="29"/>
        <v>-19614.53</v>
      </c>
      <c r="K186" s="761" t="str">
        <f t="shared" si="25"/>
        <v xml:space="preserve"> </v>
      </c>
      <c r="L186" s="761" t="str">
        <f t="shared" si="26"/>
        <v xml:space="preserve"> </v>
      </c>
      <c r="M186" s="781" t="str">
        <f t="shared" si="27"/>
        <v xml:space="preserve"> </v>
      </c>
      <c r="N186" s="781" t="str">
        <f t="shared" si="30"/>
        <v xml:space="preserve"> </v>
      </c>
      <c r="O186" s="804"/>
    </row>
    <row r="187" spans="3:15">
      <c r="C187" s="1806">
        <v>1901001</v>
      </c>
      <c r="D187" s="805" t="s">
        <v>337</v>
      </c>
      <c r="E187" s="1806">
        <v>7055</v>
      </c>
      <c r="F187" s="778"/>
      <c r="G187" s="777" t="s">
        <v>1742</v>
      </c>
      <c r="H187" s="779">
        <v>126786</v>
      </c>
      <c r="I187" s="780" t="s">
        <v>291</v>
      </c>
      <c r="J187" s="781">
        <f t="shared" si="29"/>
        <v>126786</v>
      </c>
      <c r="K187" s="761" t="str">
        <f t="shared" si="25"/>
        <v xml:space="preserve"> </v>
      </c>
      <c r="L187" s="761" t="str">
        <f t="shared" si="26"/>
        <v xml:space="preserve"> </v>
      </c>
      <c r="M187" s="781" t="str">
        <f t="shared" si="27"/>
        <v xml:space="preserve"> </v>
      </c>
      <c r="N187" s="781" t="str">
        <f t="shared" si="30"/>
        <v xml:space="preserve"> </v>
      </c>
      <c r="O187" s="804"/>
    </row>
    <row r="188" spans="3:15">
      <c r="C188" s="1806">
        <v>1901001</v>
      </c>
      <c r="D188" s="805" t="s">
        <v>337</v>
      </c>
      <c r="E188" s="1806">
        <v>7061</v>
      </c>
      <c r="F188" s="778"/>
      <c r="G188" s="777" t="s">
        <v>1760</v>
      </c>
      <c r="H188" s="779">
        <v>42.76</v>
      </c>
      <c r="I188" s="780" t="s">
        <v>291</v>
      </c>
      <c r="J188" s="781">
        <f t="shared" si="29"/>
        <v>42.76</v>
      </c>
      <c r="K188" s="761" t="str">
        <f t="shared" si="25"/>
        <v xml:space="preserve"> </v>
      </c>
      <c r="L188" s="761" t="str">
        <f t="shared" si="26"/>
        <v xml:space="preserve"> </v>
      </c>
      <c r="M188" s="781" t="str">
        <f t="shared" si="27"/>
        <v xml:space="preserve"> </v>
      </c>
      <c r="N188" s="781" t="str">
        <f t="shared" si="30"/>
        <v xml:space="preserve"> </v>
      </c>
      <c r="O188" s="804"/>
    </row>
    <row r="189" spans="3:15">
      <c r="C189" s="1806">
        <v>1901001</v>
      </c>
      <c r="D189" s="805" t="s">
        <v>337</v>
      </c>
      <c r="E189" s="1806">
        <v>7083</v>
      </c>
      <c r="F189" s="778"/>
      <c r="G189" s="777" t="s">
        <v>1743</v>
      </c>
      <c r="H189" s="779">
        <v>65327.38</v>
      </c>
      <c r="I189" s="780" t="s">
        <v>291</v>
      </c>
      <c r="J189" s="781">
        <f t="shared" si="29"/>
        <v>65327.38</v>
      </c>
      <c r="K189" s="761" t="str">
        <f t="shared" si="25"/>
        <v xml:space="preserve"> </v>
      </c>
      <c r="L189" s="761" t="str">
        <f t="shared" si="26"/>
        <v xml:space="preserve"> </v>
      </c>
      <c r="M189" s="781" t="str">
        <f t="shared" si="27"/>
        <v xml:space="preserve"> </v>
      </c>
      <c r="N189" s="781" t="str">
        <f t="shared" si="30"/>
        <v xml:space="preserve"> </v>
      </c>
      <c r="O189" s="804"/>
    </row>
    <row r="190" spans="3:15">
      <c r="C190" s="1806">
        <v>1901001</v>
      </c>
      <c r="D190" s="805" t="s">
        <v>337</v>
      </c>
      <c r="E190" s="1806">
        <v>7085</v>
      </c>
      <c r="F190" s="778"/>
      <c r="G190" s="777" t="s">
        <v>1702</v>
      </c>
      <c r="H190" s="779">
        <v>934504.98</v>
      </c>
      <c r="I190" s="780" t="s">
        <v>291</v>
      </c>
      <c r="J190" s="781">
        <f t="shared" si="29"/>
        <v>934504.98</v>
      </c>
      <c r="K190" s="761" t="str">
        <f t="shared" si="25"/>
        <v xml:space="preserve"> </v>
      </c>
      <c r="L190" s="761" t="str">
        <f t="shared" si="26"/>
        <v xml:space="preserve"> </v>
      </c>
      <c r="M190" s="781" t="str">
        <f t="shared" si="27"/>
        <v xml:space="preserve"> </v>
      </c>
      <c r="N190" s="781" t="str">
        <f t="shared" si="30"/>
        <v xml:space="preserve"> </v>
      </c>
      <c r="O190" s="804"/>
    </row>
    <row r="191" spans="3:15">
      <c r="C191" s="1806">
        <v>1901001</v>
      </c>
      <c r="D191" s="805"/>
      <c r="E191" s="1806">
        <v>7086</v>
      </c>
      <c r="F191" s="778"/>
      <c r="G191" s="777" t="s">
        <v>1703</v>
      </c>
      <c r="H191" s="779">
        <v>1281.3399999999999</v>
      </c>
      <c r="I191" s="780" t="s">
        <v>291</v>
      </c>
      <c r="J191" s="781">
        <f t="shared" si="29"/>
        <v>1281.3399999999999</v>
      </c>
      <c r="K191" s="761" t="str">
        <f t="shared" si="25"/>
        <v xml:space="preserve"> </v>
      </c>
      <c r="L191" s="761" t="str">
        <f t="shared" si="26"/>
        <v xml:space="preserve"> </v>
      </c>
      <c r="M191" s="781" t="str">
        <f t="shared" si="27"/>
        <v xml:space="preserve"> </v>
      </c>
      <c r="N191" s="781" t="str">
        <f t="shared" si="30"/>
        <v xml:space="preserve"> </v>
      </c>
      <c r="O191" s="804"/>
    </row>
    <row r="192" spans="3:15">
      <c r="C192" s="1806">
        <v>1901001</v>
      </c>
      <c r="D192" s="805" t="s">
        <v>337</v>
      </c>
      <c r="E192" s="1806">
        <v>7103</v>
      </c>
      <c r="F192" s="778"/>
      <c r="G192" s="777" t="s">
        <v>1704</v>
      </c>
      <c r="H192" s="779">
        <v>2249.56</v>
      </c>
      <c r="I192" s="780" t="s">
        <v>291</v>
      </c>
      <c r="J192" s="781">
        <f t="shared" si="29"/>
        <v>2249.56</v>
      </c>
      <c r="K192" s="761" t="str">
        <f t="shared" si="25"/>
        <v xml:space="preserve"> </v>
      </c>
      <c r="L192" s="761" t="str">
        <f t="shared" si="26"/>
        <v xml:space="preserve"> </v>
      </c>
      <c r="M192" s="781" t="str">
        <f t="shared" si="27"/>
        <v xml:space="preserve"> </v>
      </c>
      <c r="N192" s="781" t="str">
        <f t="shared" si="30"/>
        <v xml:space="preserve"> </v>
      </c>
      <c r="O192" s="804"/>
    </row>
    <row r="193" spans="3:15">
      <c r="C193" s="1806">
        <v>1901001</v>
      </c>
      <c r="D193" s="805" t="s">
        <v>337</v>
      </c>
      <c r="E193" s="1806">
        <v>7104</v>
      </c>
      <c r="F193" s="778"/>
      <c r="G193" s="777" t="s">
        <v>1744</v>
      </c>
      <c r="H193" s="779">
        <v>229592.47</v>
      </c>
      <c r="I193" s="780" t="s">
        <v>291</v>
      </c>
      <c r="J193" s="781">
        <f t="shared" si="29"/>
        <v>229592.47</v>
      </c>
      <c r="K193" s="761" t="str">
        <f t="shared" si="25"/>
        <v xml:space="preserve"> </v>
      </c>
      <c r="L193" s="761" t="str">
        <f t="shared" si="26"/>
        <v xml:space="preserve"> </v>
      </c>
      <c r="M193" s="781" t="str">
        <f t="shared" si="27"/>
        <v xml:space="preserve"> </v>
      </c>
      <c r="N193" s="781" t="str">
        <f t="shared" si="30"/>
        <v xml:space="preserve"> </v>
      </c>
      <c r="O193" s="804"/>
    </row>
    <row r="194" spans="3:15">
      <c r="C194" s="1806">
        <v>1901001</v>
      </c>
      <c r="D194" s="805" t="s">
        <v>337</v>
      </c>
      <c r="E194" s="1806">
        <v>7110</v>
      </c>
      <c r="F194" s="778"/>
      <c r="G194" s="777" t="s">
        <v>1745</v>
      </c>
      <c r="H194" s="779">
        <v>-742646.12</v>
      </c>
      <c r="I194" s="780" t="s">
        <v>291</v>
      </c>
      <c r="J194" s="781">
        <f t="shared" si="29"/>
        <v>-742646.12</v>
      </c>
      <c r="K194" s="761" t="str">
        <f t="shared" si="25"/>
        <v xml:space="preserve"> </v>
      </c>
      <c r="L194" s="761" t="str">
        <f t="shared" si="26"/>
        <v xml:space="preserve"> </v>
      </c>
      <c r="M194" s="781" t="str">
        <f t="shared" si="27"/>
        <v xml:space="preserve"> </v>
      </c>
      <c r="N194" s="781" t="str">
        <f t="shared" si="30"/>
        <v xml:space="preserve"> </v>
      </c>
      <c r="O194" s="804"/>
    </row>
    <row r="195" spans="3:15">
      <c r="C195" s="1806">
        <v>1901001</v>
      </c>
      <c r="D195" s="805" t="s">
        <v>337</v>
      </c>
      <c r="E195" s="1806">
        <v>7137</v>
      </c>
      <c r="F195" s="778"/>
      <c r="G195" s="777" t="s">
        <v>1705</v>
      </c>
      <c r="H195" s="779">
        <v>448378.09</v>
      </c>
      <c r="I195" s="780" t="s">
        <v>291</v>
      </c>
      <c r="J195" s="781">
        <f t="shared" si="29"/>
        <v>448378.09</v>
      </c>
      <c r="K195" s="761" t="str">
        <f t="shared" si="25"/>
        <v xml:space="preserve"> </v>
      </c>
      <c r="L195" s="761" t="str">
        <f t="shared" si="26"/>
        <v xml:space="preserve"> </v>
      </c>
      <c r="M195" s="781" t="str">
        <f t="shared" si="27"/>
        <v xml:space="preserve"> </v>
      </c>
      <c r="N195" s="781" t="str">
        <f t="shared" si="30"/>
        <v xml:space="preserve"> </v>
      </c>
      <c r="O195" s="804"/>
    </row>
    <row r="196" spans="3:15">
      <c r="C196" s="1806">
        <v>1901001</v>
      </c>
      <c r="D196" s="805" t="s">
        <v>337</v>
      </c>
      <c r="E196" s="1806">
        <v>7138</v>
      </c>
      <c r="F196" s="778"/>
      <c r="G196" s="777" t="s">
        <v>1706</v>
      </c>
      <c r="H196" s="779">
        <v>1691.66</v>
      </c>
      <c r="I196" s="780" t="s">
        <v>291</v>
      </c>
      <c r="J196" s="781">
        <f t="shared" si="29"/>
        <v>1691.66</v>
      </c>
      <c r="K196" s="761" t="str">
        <f t="shared" si="25"/>
        <v xml:space="preserve"> </v>
      </c>
      <c r="L196" s="761" t="str">
        <f t="shared" si="26"/>
        <v xml:space="preserve"> </v>
      </c>
      <c r="M196" s="781" t="str">
        <f t="shared" si="27"/>
        <v xml:space="preserve"> </v>
      </c>
      <c r="N196" s="781" t="str">
        <f t="shared" si="30"/>
        <v xml:space="preserve"> </v>
      </c>
      <c r="O196" s="804"/>
    </row>
    <row r="197" spans="3:15">
      <c r="C197" s="1806">
        <v>1901001</v>
      </c>
      <c r="D197" s="805"/>
      <c r="E197" s="1806">
        <v>7139</v>
      </c>
      <c r="F197" s="778"/>
      <c r="G197" s="777" t="s">
        <v>1707</v>
      </c>
      <c r="H197" s="779">
        <v>32258.1</v>
      </c>
      <c r="I197" s="780" t="s">
        <v>291</v>
      </c>
      <c r="J197" s="781">
        <f t="shared" si="29"/>
        <v>32258.1</v>
      </c>
      <c r="K197" s="761" t="str">
        <f t="shared" si="25"/>
        <v xml:space="preserve"> </v>
      </c>
      <c r="L197" s="761" t="str">
        <f t="shared" si="26"/>
        <v xml:space="preserve"> </v>
      </c>
      <c r="M197" s="781" t="str">
        <f t="shared" si="27"/>
        <v xml:space="preserve"> </v>
      </c>
      <c r="N197" s="781" t="str">
        <f t="shared" si="30"/>
        <v xml:space="preserve"> </v>
      </c>
      <c r="O197" s="804"/>
    </row>
    <row r="198" spans="3:15">
      <c r="C198" s="1806">
        <v>1901001</v>
      </c>
      <c r="D198" s="805"/>
      <c r="E198" s="1806">
        <v>7141</v>
      </c>
      <c r="F198" s="778"/>
      <c r="G198" s="777" t="s">
        <v>1708</v>
      </c>
      <c r="H198" s="779">
        <v>60652.31</v>
      </c>
      <c r="I198" s="780" t="s">
        <v>291</v>
      </c>
      <c r="J198" s="781">
        <f>IF(I198="e",H198," ")</f>
        <v>60652.31</v>
      </c>
      <c r="K198" s="761" t="str">
        <f>IF($I198="T",$H198," ")</f>
        <v xml:space="preserve"> </v>
      </c>
      <c r="L198" s="761" t="str">
        <f>IF($I198="PTD",$H198," ")</f>
        <v xml:space="preserve"> </v>
      </c>
      <c r="M198" s="781" t="str">
        <f>IF($I198="T&amp;D",$H198," ")</f>
        <v xml:space="preserve"> </v>
      </c>
      <c r="N198" s="781" t="str">
        <f>IF(I198="Labor",H198," ")</f>
        <v xml:space="preserve"> </v>
      </c>
      <c r="O198" s="804"/>
    </row>
    <row r="199" spans="3:15">
      <c r="C199" s="1806">
        <v>1901001</v>
      </c>
      <c r="D199" s="805"/>
      <c r="E199" s="1806">
        <v>7175</v>
      </c>
      <c r="F199" s="778"/>
      <c r="G199" s="777" t="s">
        <v>1709</v>
      </c>
      <c r="H199" s="779">
        <v>556856.73</v>
      </c>
      <c r="I199" s="780" t="s">
        <v>291</v>
      </c>
      <c r="J199" s="781">
        <f>H199</f>
        <v>556856.73</v>
      </c>
      <c r="K199" s="761"/>
      <c r="L199" s="761"/>
      <c r="M199" s="781"/>
      <c r="N199" s="781"/>
      <c r="O199" s="804"/>
    </row>
    <row r="200" spans="3:15">
      <c r="C200" s="1806">
        <v>1901001</v>
      </c>
      <c r="D200" s="805"/>
      <c r="E200" s="1806">
        <v>7176</v>
      </c>
      <c r="F200" s="778"/>
      <c r="G200" s="777" t="s">
        <v>1710</v>
      </c>
      <c r="H200" s="779">
        <v>-472607.91</v>
      </c>
      <c r="I200" s="780" t="s">
        <v>291</v>
      </c>
      <c r="J200" s="781">
        <f>H200</f>
        <v>-472607.91</v>
      </c>
      <c r="K200" s="761"/>
      <c r="L200" s="761"/>
      <c r="M200" s="781"/>
      <c r="N200" s="781"/>
      <c r="O200" s="804"/>
    </row>
    <row r="201" spans="3:15">
      <c r="C201" s="1806">
        <v>1901001</v>
      </c>
      <c r="D201" s="805"/>
      <c r="E201" s="1806">
        <v>7202</v>
      </c>
      <c r="F201" s="778"/>
      <c r="G201" s="777" t="s">
        <v>1758</v>
      </c>
      <c r="H201" s="779">
        <v>48726.09</v>
      </c>
      <c r="I201" s="780" t="s">
        <v>291</v>
      </c>
      <c r="J201" s="781"/>
      <c r="K201" s="761"/>
      <c r="L201" s="761">
        <f>H201</f>
        <v>48726.09</v>
      </c>
      <c r="M201" s="781"/>
      <c r="N201" s="781"/>
      <c r="O201" s="804"/>
    </row>
    <row r="202" spans="3:15">
      <c r="C202" s="1806">
        <v>1901001</v>
      </c>
      <c r="D202" s="805"/>
      <c r="E202" s="1806">
        <v>7378</v>
      </c>
      <c r="F202" s="778"/>
      <c r="G202" s="777" t="s">
        <v>1711</v>
      </c>
      <c r="H202" s="779">
        <v>271839.59000000003</v>
      </c>
      <c r="I202" s="780" t="s">
        <v>291</v>
      </c>
      <c r="J202" s="781">
        <f>H202</f>
        <v>271839.59000000003</v>
      </c>
      <c r="K202" s="761"/>
      <c r="L202" s="761"/>
      <c r="M202" s="781"/>
      <c r="N202" s="781"/>
      <c r="O202" s="804"/>
    </row>
    <row r="203" spans="3:15">
      <c r="C203" s="1806">
        <v>1901001</v>
      </c>
      <c r="D203" s="805"/>
      <c r="E203" s="1806">
        <v>7379</v>
      </c>
      <c r="F203" s="778"/>
      <c r="G203" s="777" t="s">
        <v>1712</v>
      </c>
      <c r="H203" s="779">
        <v>-94159.33</v>
      </c>
      <c r="I203" s="780" t="s">
        <v>291</v>
      </c>
      <c r="J203" s="781">
        <f>H203</f>
        <v>-94159.33</v>
      </c>
      <c r="K203" s="761"/>
      <c r="L203" s="761"/>
      <c r="M203" s="781"/>
      <c r="N203" s="781"/>
      <c r="O203" s="804"/>
    </row>
    <row r="204" spans="3:15">
      <c r="C204" s="1806">
        <v>1901001</v>
      </c>
      <c r="D204" s="805" t="s">
        <v>337</v>
      </c>
      <c r="E204" s="1806">
        <v>7389</v>
      </c>
      <c r="F204" s="778"/>
      <c r="G204" s="777" t="s">
        <v>1713</v>
      </c>
      <c r="H204" s="779">
        <v>2118.5700000000002</v>
      </c>
      <c r="I204" s="780" t="s">
        <v>291</v>
      </c>
      <c r="J204" s="781">
        <f t="shared" si="29"/>
        <v>2118.5700000000002</v>
      </c>
      <c r="K204" s="761" t="str">
        <f t="shared" si="25"/>
        <v xml:space="preserve"> </v>
      </c>
      <c r="L204" s="761" t="str">
        <f t="shared" si="26"/>
        <v xml:space="preserve"> </v>
      </c>
      <c r="M204" s="781" t="str">
        <f t="shared" si="27"/>
        <v xml:space="preserve"> </v>
      </c>
      <c r="N204" s="781" t="str">
        <f t="shared" si="30"/>
        <v xml:space="preserve"> </v>
      </c>
      <c r="O204" s="804"/>
    </row>
    <row r="205" spans="3:15">
      <c r="C205" s="1806">
        <v>1901001</v>
      </c>
      <c r="D205" s="805" t="s">
        <v>337</v>
      </c>
      <c r="E205" s="1806">
        <v>7394</v>
      </c>
      <c r="F205" s="778"/>
      <c r="G205" s="777" t="s">
        <v>1714</v>
      </c>
      <c r="H205" s="779">
        <v>5351.85</v>
      </c>
      <c r="I205" s="780" t="s">
        <v>291</v>
      </c>
      <c r="J205" s="781">
        <f t="shared" si="29"/>
        <v>5351.85</v>
      </c>
      <c r="K205" s="761" t="str">
        <f t="shared" si="25"/>
        <v xml:space="preserve"> </v>
      </c>
      <c r="L205" s="761" t="str">
        <f t="shared" si="26"/>
        <v xml:space="preserve"> </v>
      </c>
      <c r="M205" s="781" t="str">
        <f t="shared" si="27"/>
        <v xml:space="preserve"> </v>
      </c>
      <c r="N205" s="781" t="str">
        <f t="shared" si="30"/>
        <v xml:space="preserve"> </v>
      </c>
      <c r="O205" s="804"/>
    </row>
    <row r="206" spans="3:15">
      <c r="C206" s="1806">
        <v>1901001</v>
      </c>
      <c r="D206" s="805"/>
      <c r="E206" s="1806">
        <v>7401</v>
      </c>
      <c r="F206" s="778"/>
      <c r="G206" s="777" t="s">
        <v>1715</v>
      </c>
      <c r="H206" s="779">
        <v>471525.74</v>
      </c>
      <c r="I206" s="780" t="s">
        <v>291</v>
      </c>
      <c r="J206" s="781">
        <f>H206</f>
        <v>471525.74</v>
      </c>
      <c r="K206" s="761"/>
      <c r="L206" s="761"/>
      <c r="M206" s="781"/>
      <c r="N206" s="781"/>
      <c r="O206" s="804"/>
    </row>
    <row r="207" spans="3:15">
      <c r="C207" s="1806">
        <v>1901001</v>
      </c>
      <c r="D207" s="805"/>
      <c r="E207" s="1806">
        <v>7414</v>
      </c>
      <c r="F207" s="778"/>
      <c r="G207" s="777" t="s">
        <v>1716</v>
      </c>
      <c r="H207" s="779">
        <v>-2008.11</v>
      </c>
      <c r="I207" s="780" t="s">
        <v>291</v>
      </c>
      <c r="J207" s="781">
        <f t="shared" si="29"/>
        <v>-2008.11</v>
      </c>
      <c r="K207" s="761" t="str">
        <f t="shared" si="25"/>
        <v xml:space="preserve"> </v>
      </c>
      <c r="L207" s="761" t="str">
        <f t="shared" si="26"/>
        <v xml:space="preserve"> </v>
      </c>
      <c r="M207" s="781" t="str">
        <f t="shared" si="27"/>
        <v xml:space="preserve"> </v>
      </c>
      <c r="N207" s="781" t="str">
        <f t="shared" si="30"/>
        <v xml:space="preserve"> </v>
      </c>
      <c r="O207" s="804"/>
    </row>
    <row r="208" spans="3:15">
      <c r="C208" s="1806">
        <v>1901001</v>
      </c>
      <c r="D208" s="805"/>
      <c r="E208" s="1806">
        <v>7443</v>
      </c>
      <c r="F208" s="778"/>
      <c r="G208" s="777" t="s">
        <v>1717</v>
      </c>
      <c r="H208" s="779">
        <v>-9315.0400000000009</v>
      </c>
      <c r="I208" s="780" t="s">
        <v>291</v>
      </c>
      <c r="J208" s="781">
        <f t="shared" ref="J208" si="32">IF(I208="e",H208," ")</f>
        <v>-9315.0400000000009</v>
      </c>
      <c r="K208" s="761" t="str">
        <f t="shared" si="25"/>
        <v xml:space="preserve"> </v>
      </c>
      <c r="L208" s="761" t="str">
        <f t="shared" si="26"/>
        <v xml:space="preserve"> </v>
      </c>
      <c r="M208" s="781" t="str">
        <f t="shared" si="27"/>
        <v xml:space="preserve"> </v>
      </c>
      <c r="N208" s="781" t="str">
        <f t="shared" ref="N208" si="33">IF(I208="Labor",H208," ")</f>
        <v xml:space="preserve"> </v>
      </c>
      <c r="O208" s="804"/>
    </row>
    <row r="209" spans="3:15">
      <c r="C209" s="1806">
        <v>1901001</v>
      </c>
      <c r="D209" s="805"/>
      <c r="E209" s="1806">
        <v>7446</v>
      </c>
      <c r="F209" s="778"/>
      <c r="G209" s="777" t="s">
        <v>1718</v>
      </c>
      <c r="H209" s="779">
        <v>21640.47</v>
      </c>
      <c r="I209" s="780" t="s">
        <v>291</v>
      </c>
      <c r="J209" s="781">
        <f>H209</f>
        <v>21640.47</v>
      </c>
      <c r="K209" s="761"/>
      <c r="L209" s="761"/>
      <c r="M209" s="781"/>
      <c r="N209" s="781"/>
      <c r="O209" s="804"/>
    </row>
    <row r="210" spans="3:15">
      <c r="C210" s="1806">
        <v>1901001</v>
      </c>
      <c r="D210" s="805"/>
      <c r="E210" s="1806">
        <v>7463</v>
      </c>
      <c r="F210" s="778"/>
      <c r="G210" s="777" t="s">
        <v>1746</v>
      </c>
      <c r="H210" s="779">
        <v>0.04</v>
      </c>
      <c r="I210" s="780" t="s">
        <v>291</v>
      </c>
      <c r="J210" s="781">
        <f>H210</f>
        <v>0.04</v>
      </c>
      <c r="K210" s="761"/>
      <c r="L210" s="761"/>
      <c r="M210" s="781"/>
      <c r="N210" s="781"/>
      <c r="O210" s="804"/>
    </row>
    <row r="211" spans="3:15">
      <c r="C211" s="1806">
        <v>1901001</v>
      </c>
      <c r="D211" s="805"/>
      <c r="E211" s="1806">
        <v>7488</v>
      </c>
      <c r="F211" s="778"/>
      <c r="G211" s="777" t="s">
        <v>1719</v>
      </c>
      <c r="H211" s="779">
        <v>259470.36</v>
      </c>
      <c r="I211" s="780" t="s">
        <v>291</v>
      </c>
      <c r="J211" s="781">
        <f>H211</f>
        <v>259470.36</v>
      </c>
      <c r="K211" s="761"/>
      <c r="L211" s="761"/>
      <c r="M211" s="781"/>
      <c r="N211" s="781"/>
      <c r="O211" s="804"/>
    </row>
    <row r="212" spans="3:15">
      <c r="C212" s="1806">
        <v>1901001</v>
      </c>
      <c r="D212" s="805"/>
      <c r="E212" s="1806">
        <v>7489</v>
      </c>
      <c r="F212" s="778"/>
      <c r="G212" s="777" t="s">
        <v>1720</v>
      </c>
      <c r="H212" s="779">
        <v>-121828.59</v>
      </c>
      <c r="I212" s="780" t="s">
        <v>291</v>
      </c>
      <c r="J212" s="781">
        <f>H212</f>
        <v>-121828.59</v>
      </c>
      <c r="K212" s="761"/>
      <c r="L212" s="761"/>
      <c r="M212" s="781"/>
      <c r="N212" s="781"/>
      <c r="O212" s="804"/>
    </row>
    <row r="213" spans="3:15">
      <c r="C213" s="1806">
        <v>1901001</v>
      </c>
      <c r="D213" s="805"/>
      <c r="E213" s="1806">
        <v>7491</v>
      </c>
      <c r="F213" s="778"/>
      <c r="G213" s="777" t="s">
        <v>1721</v>
      </c>
      <c r="H213" s="779">
        <v>240621.58</v>
      </c>
      <c r="I213" s="780" t="s">
        <v>291</v>
      </c>
      <c r="J213" s="781">
        <f>H213</f>
        <v>240621.58</v>
      </c>
      <c r="K213" s="761"/>
      <c r="L213" s="761"/>
      <c r="M213" s="781"/>
      <c r="N213" s="781"/>
      <c r="O213" s="804"/>
    </row>
    <row r="214" spans="3:15">
      <c r="C214" s="1806">
        <v>1901001</v>
      </c>
      <c r="D214" s="805" t="s">
        <v>337</v>
      </c>
      <c r="E214" s="1806">
        <v>7559</v>
      </c>
      <c r="F214" s="778"/>
      <c r="G214" s="777" t="s">
        <v>1722</v>
      </c>
      <c r="H214" s="779">
        <v>3166.64</v>
      </c>
      <c r="I214" s="780" t="s">
        <v>291</v>
      </c>
      <c r="J214" s="781">
        <f t="shared" si="29"/>
        <v>3166.64</v>
      </c>
      <c r="K214" s="761" t="str">
        <f t="shared" si="25"/>
        <v xml:space="preserve"> </v>
      </c>
      <c r="L214" s="761" t="str">
        <f t="shared" si="26"/>
        <v xml:space="preserve"> </v>
      </c>
      <c r="M214" s="781" t="str">
        <f t="shared" si="27"/>
        <v xml:space="preserve"> </v>
      </c>
      <c r="N214" s="781" t="str">
        <f t="shared" si="30"/>
        <v xml:space="preserve"> </v>
      </c>
      <c r="O214" s="804"/>
    </row>
    <row r="215" spans="3:15">
      <c r="C215" s="1806">
        <v>1901001</v>
      </c>
      <c r="D215" s="805"/>
      <c r="E215" s="1806">
        <v>7571</v>
      </c>
      <c r="F215" s="778"/>
      <c r="G215" s="777" t="s">
        <v>1723</v>
      </c>
      <c r="H215" s="779">
        <v>37062.53</v>
      </c>
      <c r="I215" s="780" t="s">
        <v>158</v>
      </c>
      <c r="J215" s="781"/>
      <c r="K215" s="761"/>
      <c r="L215" s="761">
        <f>H215</f>
        <v>37062.53</v>
      </c>
      <c r="M215" s="781"/>
      <c r="N215" s="781"/>
      <c r="O215" s="804"/>
    </row>
    <row r="216" spans="3:15">
      <c r="C216" s="1806">
        <v>1901001</v>
      </c>
      <c r="D216" s="805"/>
      <c r="E216" s="1806">
        <v>7575</v>
      </c>
      <c r="F216" s="778"/>
      <c r="G216" s="777" t="s">
        <v>1724</v>
      </c>
      <c r="H216" s="779">
        <v>427204.31</v>
      </c>
      <c r="I216" s="780" t="s">
        <v>300</v>
      </c>
      <c r="J216" s="781"/>
      <c r="K216" s="761"/>
      <c r="L216" s="761"/>
      <c r="M216" s="781"/>
      <c r="N216" s="781">
        <f>H216</f>
        <v>427204.31</v>
      </c>
      <c r="O216" s="804"/>
    </row>
    <row r="217" spans="3:15">
      <c r="C217" s="1806">
        <v>1901001</v>
      </c>
      <c r="D217" s="805"/>
      <c r="E217" s="1806">
        <v>7577</v>
      </c>
      <c r="F217" s="778"/>
      <c r="G217" s="777" t="s">
        <v>1747</v>
      </c>
      <c r="H217" s="779">
        <v>776864.34</v>
      </c>
      <c r="I217" s="780" t="s">
        <v>291</v>
      </c>
      <c r="J217" s="781">
        <f t="shared" ref="J217:J220" si="34">H217</f>
        <v>776864.34</v>
      </c>
      <c r="K217" s="761"/>
      <c r="L217" s="761"/>
      <c r="M217" s="781"/>
      <c r="N217" s="781"/>
      <c r="O217" s="804"/>
    </row>
    <row r="218" spans="3:15">
      <c r="C218" s="1806">
        <v>1901001</v>
      </c>
      <c r="D218" s="805"/>
      <c r="E218" s="1806">
        <v>7580</v>
      </c>
      <c r="F218" s="778"/>
      <c r="G218" s="777" t="s">
        <v>1748</v>
      </c>
      <c r="H218" s="779">
        <v>315616.76</v>
      </c>
      <c r="I218" s="780" t="s">
        <v>300</v>
      </c>
      <c r="J218" s="781"/>
      <c r="K218" s="761"/>
      <c r="L218" s="761"/>
      <c r="M218" s="781"/>
      <c r="N218" s="781">
        <f>H218</f>
        <v>315616.76</v>
      </c>
      <c r="O218" s="804"/>
    </row>
    <row r="219" spans="3:15">
      <c r="C219" s="1806">
        <v>1901001</v>
      </c>
      <c r="D219" s="805"/>
      <c r="E219" s="1806">
        <v>7581</v>
      </c>
      <c r="F219" s="778"/>
      <c r="G219" s="777" t="s">
        <v>1749</v>
      </c>
      <c r="H219" s="779">
        <v>24557409.949999999</v>
      </c>
      <c r="I219" s="780" t="s">
        <v>291</v>
      </c>
      <c r="J219" s="781">
        <f t="shared" si="34"/>
        <v>24557409.949999999</v>
      </c>
      <c r="K219" s="761"/>
      <c r="L219" s="761"/>
      <c r="M219" s="781"/>
      <c r="N219" s="781"/>
      <c r="O219" s="804"/>
    </row>
    <row r="220" spans="3:15">
      <c r="C220" s="1806">
        <v>1901001</v>
      </c>
      <c r="D220" s="805"/>
      <c r="E220" s="1806">
        <v>7583</v>
      </c>
      <c r="F220" s="778"/>
      <c r="G220" s="777" t="s">
        <v>1725</v>
      </c>
      <c r="H220" s="779">
        <v>-0.04</v>
      </c>
      <c r="I220" s="780" t="s">
        <v>291</v>
      </c>
      <c r="J220" s="781">
        <f t="shared" si="34"/>
        <v>-0.04</v>
      </c>
      <c r="K220" s="761"/>
      <c r="L220" s="761"/>
      <c r="M220" s="781"/>
      <c r="N220" s="781"/>
      <c r="O220" s="804"/>
    </row>
    <row r="221" spans="3:15">
      <c r="C221" s="1806">
        <v>1901001</v>
      </c>
      <c r="D221" s="805"/>
      <c r="E221" s="1806">
        <v>7584</v>
      </c>
      <c r="F221" s="778"/>
      <c r="G221" s="777" t="s">
        <v>1750</v>
      </c>
      <c r="H221" s="779">
        <v>22628439.379999999</v>
      </c>
      <c r="I221" s="780" t="s">
        <v>291</v>
      </c>
      <c r="J221" s="781">
        <f t="shared" ref="J221:J222" si="35">H221</f>
        <v>22628439.379999999</v>
      </c>
      <c r="K221" s="761"/>
      <c r="L221" s="761"/>
      <c r="M221" s="781"/>
      <c r="N221" s="781"/>
      <c r="O221" s="804"/>
    </row>
    <row r="222" spans="3:15">
      <c r="C222" s="1806">
        <v>1901001</v>
      </c>
      <c r="D222" s="805"/>
      <c r="E222" s="1806">
        <v>7585</v>
      </c>
      <c r="F222" s="778"/>
      <c r="G222" s="777" t="s">
        <v>1690</v>
      </c>
      <c r="H222" s="779">
        <v>888797.3</v>
      </c>
      <c r="I222" s="780" t="s">
        <v>291</v>
      </c>
      <c r="J222" s="781">
        <f t="shared" si="35"/>
        <v>888797.3</v>
      </c>
      <c r="K222" s="761"/>
      <c r="L222" s="761"/>
      <c r="M222" s="781"/>
      <c r="N222" s="781"/>
      <c r="O222" s="804"/>
    </row>
    <row r="223" spans="3:15">
      <c r="C223" s="1806">
        <v>1901001</v>
      </c>
      <c r="D223" s="805"/>
      <c r="E223" s="1806">
        <v>8016</v>
      </c>
      <c r="F223" s="778"/>
      <c r="G223" s="777" t="s">
        <v>1751</v>
      </c>
      <c r="H223" s="779">
        <v>292951.95</v>
      </c>
      <c r="I223" s="780" t="s">
        <v>291</v>
      </c>
      <c r="J223" s="781">
        <f t="shared" ref="J223:J226" si="36">H223</f>
        <v>292951.95</v>
      </c>
      <c r="K223" s="761"/>
      <c r="L223" s="761"/>
      <c r="M223" s="781"/>
      <c r="N223" s="781"/>
      <c r="O223" s="804"/>
    </row>
    <row r="224" spans="3:15">
      <c r="C224" s="1806">
        <v>1901001</v>
      </c>
      <c r="D224" s="805"/>
      <c r="E224" s="1806">
        <v>8018</v>
      </c>
      <c r="F224" s="778"/>
      <c r="G224" s="777" t="s">
        <v>1752</v>
      </c>
      <c r="H224" s="779">
        <v>6298.65</v>
      </c>
      <c r="I224" s="780" t="s">
        <v>291</v>
      </c>
      <c r="J224" s="781">
        <f t="shared" si="36"/>
        <v>6298.65</v>
      </c>
      <c r="K224" s="761"/>
      <c r="L224" s="761"/>
      <c r="M224" s="781"/>
      <c r="N224" s="781"/>
      <c r="O224" s="804"/>
    </row>
    <row r="225" spans="3:16">
      <c r="C225" s="1806">
        <v>1901001</v>
      </c>
      <c r="D225" s="805"/>
      <c r="E225" s="1806">
        <v>8022</v>
      </c>
      <c r="F225" s="778"/>
      <c r="G225" s="777" t="s">
        <v>1753</v>
      </c>
      <c r="H225" s="779">
        <v>-895059.52</v>
      </c>
      <c r="I225" s="780" t="s">
        <v>291</v>
      </c>
      <c r="J225" s="781">
        <f t="shared" si="36"/>
        <v>-895059.52</v>
      </c>
      <c r="K225" s="761"/>
      <c r="L225" s="761"/>
      <c r="M225" s="781"/>
      <c r="N225" s="781"/>
      <c r="O225" s="804"/>
    </row>
    <row r="226" spans="3:16">
      <c r="C226" s="1806">
        <v>1901001</v>
      </c>
      <c r="D226" s="805"/>
      <c r="E226" s="1806">
        <v>8023</v>
      </c>
      <c r="F226" s="778"/>
      <c r="G226" s="777" t="s">
        <v>1726</v>
      </c>
      <c r="H226" s="779">
        <v>-49866.42</v>
      </c>
      <c r="I226" s="780" t="s">
        <v>291</v>
      </c>
      <c r="J226" s="781">
        <f t="shared" si="36"/>
        <v>-49866.42</v>
      </c>
      <c r="K226" s="761"/>
      <c r="L226" s="761"/>
      <c r="M226" s="781"/>
      <c r="N226" s="781"/>
      <c r="O226" s="804"/>
    </row>
    <row r="227" spans="3:16">
      <c r="C227" s="1806">
        <v>1901001</v>
      </c>
      <c r="D227" s="805"/>
      <c r="E227" s="1806">
        <v>8053</v>
      </c>
      <c r="F227" s="778"/>
      <c r="G227" s="777" t="s">
        <v>1727</v>
      </c>
      <c r="H227" s="779">
        <v>-160089.59</v>
      </c>
      <c r="I227" s="780" t="s">
        <v>300</v>
      </c>
      <c r="J227" s="781"/>
      <c r="K227" s="761"/>
      <c r="L227" s="761"/>
      <c r="M227" s="781"/>
      <c r="N227" s="781">
        <f>H227</f>
        <v>-160089.59</v>
      </c>
      <c r="O227" s="804"/>
    </row>
    <row r="228" spans="3:16">
      <c r="C228" s="1806">
        <v>1901001</v>
      </c>
      <c r="D228" s="805"/>
      <c r="E228" s="1806">
        <v>8062</v>
      </c>
      <c r="F228" s="778"/>
      <c r="G228" s="777" t="s">
        <v>1754</v>
      </c>
      <c r="H228" s="779">
        <v>35640.17</v>
      </c>
      <c r="I228" s="780" t="s">
        <v>300</v>
      </c>
      <c r="J228" s="781"/>
      <c r="K228" s="761"/>
      <c r="L228" s="761"/>
      <c r="M228" s="781"/>
      <c r="N228" s="781">
        <f>H228</f>
        <v>35640.17</v>
      </c>
      <c r="O228" s="804"/>
    </row>
    <row r="229" spans="3:16">
      <c r="C229" s="1806">
        <v>1901001</v>
      </c>
      <c r="D229" s="805"/>
      <c r="E229" s="1806" t="s">
        <v>1277</v>
      </c>
      <c r="F229" s="778" t="b">
        <v>0</v>
      </c>
      <c r="G229" s="777" t="s">
        <v>1285</v>
      </c>
      <c r="H229" s="779">
        <v>189900787.30962184</v>
      </c>
      <c r="I229" s="780" t="s">
        <v>158</v>
      </c>
      <c r="J229" s="781" t="str">
        <f t="shared" ref="J229" si="37">IF(I229="e",H229," ")</f>
        <v xml:space="preserve"> </v>
      </c>
      <c r="K229" s="761" t="str">
        <f t="shared" si="25"/>
        <v xml:space="preserve"> </v>
      </c>
      <c r="L229" s="779">
        <f t="shared" si="26"/>
        <v>189900787.30962184</v>
      </c>
      <c r="M229" s="781" t="str">
        <f t="shared" si="27"/>
        <v xml:space="preserve"> </v>
      </c>
      <c r="N229" s="781" t="str">
        <f t="shared" ref="N229" si="38">IF(I229="Labor",H229," ")</f>
        <v xml:space="preserve"> </v>
      </c>
      <c r="O229" s="804"/>
      <c r="P229"/>
    </row>
    <row r="230" spans="3:16">
      <c r="C230" s="1806">
        <v>1901001</v>
      </c>
      <c r="D230" s="805"/>
      <c r="E230" s="1806" t="s">
        <v>1277</v>
      </c>
      <c r="F230" s="778" t="b">
        <v>0</v>
      </c>
      <c r="G230" s="777" t="s">
        <v>1285</v>
      </c>
      <c r="H230" s="779">
        <f>-H229</f>
        <v>-189900787.30962184</v>
      </c>
      <c r="I230" s="780" t="s">
        <v>291</v>
      </c>
      <c r="J230" s="779">
        <f t="shared" si="29"/>
        <v>-189900787.30962184</v>
      </c>
      <c r="K230" s="761" t="str">
        <f t="shared" si="25"/>
        <v xml:space="preserve"> </v>
      </c>
      <c r="L230" s="761" t="str">
        <f t="shared" si="26"/>
        <v xml:space="preserve"> </v>
      </c>
      <c r="M230" s="781"/>
      <c r="N230" s="781"/>
      <c r="O230" s="804"/>
    </row>
    <row r="231" spans="3:16">
      <c r="C231" s="778"/>
      <c r="D231" s="805"/>
      <c r="E231" s="778"/>
      <c r="F231" s="778"/>
      <c r="G231" s="778"/>
      <c r="H231" s="799"/>
      <c r="I231" s="806"/>
      <c r="J231" s="781"/>
      <c r="K231" s="761"/>
      <c r="L231" s="761"/>
      <c r="M231" s="781"/>
      <c r="N231" s="781"/>
    </row>
    <row r="232" spans="3:16">
      <c r="C232" s="1806">
        <v>1901002</v>
      </c>
      <c r="D232"/>
      <c r="E232" s="1806">
        <v>3508</v>
      </c>
      <c r="F232" s="778"/>
      <c r="G232" s="777" t="s">
        <v>1756</v>
      </c>
      <c r="H232" s="779">
        <v>1742393.11</v>
      </c>
      <c r="I232" s="780" t="s">
        <v>291</v>
      </c>
      <c r="J232" s="781">
        <f t="shared" si="24"/>
        <v>1742393.11</v>
      </c>
      <c r="K232" s="761" t="str">
        <f t="shared" si="25"/>
        <v xml:space="preserve"> </v>
      </c>
      <c r="L232" s="761" t="str">
        <f t="shared" si="26"/>
        <v xml:space="preserve"> </v>
      </c>
      <c r="M232" s="781" t="str">
        <f t="shared" si="27"/>
        <v xml:space="preserve"> </v>
      </c>
      <c r="N232" s="781" t="str">
        <f t="shared" si="28"/>
        <v xml:space="preserve"> </v>
      </c>
      <c r="O232" s="804"/>
    </row>
    <row r="233" spans="3:16">
      <c r="C233" s="1806">
        <v>1901002</v>
      </c>
      <c r="D233" s="805"/>
      <c r="E233" s="1806">
        <v>3509</v>
      </c>
      <c r="F233" s="778"/>
      <c r="G233" s="777" t="s">
        <v>1697</v>
      </c>
      <c r="H233" s="779">
        <v>40187164.549999997</v>
      </c>
      <c r="I233" s="780" t="s">
        <v>291</v>
      </c>
      <c r="J233" s="781">
        <f t="shared" ref="J233:J234" si="39">IF(I233="e",H233," ")</f>
        <v>40187164.549999997</v>
      </c>
      <c r="K233" s="761" t="str">
        <f t="shared" si="25"/>
        <v xml:space="preserve"> </v>
      </c>
      <c r="L233" s="761" t="str">
        <f t="shared" si="26"/>
        <v xml:space="preserve"> </v>
      </c>
      <c r="M233" s="781" t="str">
        <f t="shared" si="27"/>
        <v xml:space="preserve"> </v>
      </c>
      <c r="N233" s="781" t="str">
        <f t="shared" ref="N233:N234" si="40">IF(I233="Labor",H233," ")</f>
        <v xml:space="preserve"> </v>
      </c>
      <c r="O233" s="804"/>
    </row>
    <row r="234" spans="3:16">
      <c r="C234" s="1806">
        <v>1901002</v>
      </c>
      <c r="D234" s="805"/>
      <c r="E234" s="1806">
        <v>4031</v>
      </c>
      <c r="F234" s="778"/>
      <c r="G234" s="777" t="s">
        <v>1698</v>
      </c>
      <c r="H234" s="779">
        <v>35171565.18</v>
      </c>
      <c r="I234" s="780" t="s">
        <v>291</v>
      </c>
      <c r="J234" s="781">
        <f t="shared" si="39"/>
        <v>35171565.18</v>
      </c>
      <c r="K234" s="761" t="str">
        <f t="shared" si="25"/>
        <v xml:space="preserve"> </v>
      </c>
      <c r="L234" s="761" t="str">
        <f t="shared" si="26"/>
        <v xml:space="preserve"> </v>
      </c>
      <c r="M234" s="781" t="str">
        <f t="shared" si="27"/>
        <v xml:space="preserve"> </v>
      </c>
      <c r="N234" s="781" t="str">
        <f t="shared" si="40"/>
        <v xml:space="preserve"> </v>
      </c>
      <c r="O234" s="804"/>
    </row>
    <row r="235" spans="3:16">
      <c r="C235" s="785"/>
      <c r="D235" s="783"/>
      <c r="E235" s="785"/>
      <c r="F235" s="778"/>
      <c r="G235" s="785"/>
      <c r="H235" s="786"/>
      <c r="I235" s="784"/>
      <c r="J235" s="781"/>
      <c r="K235" s="761"/>
      <c r="L235" s="761"/>
      <c r="M235" s="781"/>
      <c r="N235" s="781"/>
      <c r="O235" s="804"/>
    </row>
    <row r="236" spans="3:16">
      <c r="C236" s="809"/>
      <c r="F236" s="778"/>
      <c r="J236" s="804"/>
    </row>
    <row r="237" spans="3:16" ht="13">
      <c r="C237" s="33">
        <v>190.1</v>
      </c>
      <c r="D237" s="12"/>
      <c r="G237" s="561" t="s">
        <v>159</v>
      </c>
      <c r="H237" s="801">
        <f>SUM(H152:H236)</f>
        <v>193990949.5</v>
      </c>
      <c r="I237" s="761"/>
      <c r="J237" s="801">
        <f>SUM(J152:J236)</f>
        <v>-36137028.989621855</v>
      </c>
      <c r="K237" s="801">
        <f>SUM(K152:K236)</f>
        <v>0</v>
      </c>
      <c r="L237" s="801">
        <f>SUM(L152:L236)</f>
        <v>226284824.95962185</v>
      </c>
      <c r="M237" s="801">
        <f>SUM(M152:M236)</f>
        <v>0</v>
      </c>
      <c r="N237" s="801">
        <f>SUM(N152:N236)</f>
        <v>3843153.5300000003</v>
      </c>
      <c r="O237" s="782">
        <f>SUM(J237:N237)</f>
        <v>193990949.5</v>
      </c>
      <c r="P237" s="761">
        <f>O237-H237</f>
        <v>0</v>
      </c>
    </row>
    <row r="238" spans="3:16">
      <c r="G238" s="791" t="s">
        <v>129</v>
      </c>
      <c r="H238" s="786">
        <v>193990950</v>
      </c>
      <c r="I238"/>
      <c r="J238" s="792"/>
    </row>
    <row r="239" spans="3:16">
      <c r="G239" s="791"/>
      <c r="H239" s="810"/>
    </row>
    <row r="240" spans="3:16" ht="33" customHeight="1">
      <c r="C240" s="2293"/>
      <c r="D240" s="2293"/>
      <c r="E240" s="2293"/>
      <c r="F240" s="2293"/>
      <c r="G240" s="2293"/>
      <c r="H240" s="2293"/>
      <c r="I240" s="2293"/>
      <c r="J240" s="2293"/>
      <c r="K240" s="2293"/>
      <c r="L240" s="2293"/>
      <c r="M240" s="2293"/>
      <c r="N240" s="2293"/>
    </row>
    <row r="253" spans="4:8">
      <c r="D253" s="788"/>
      <c r="H253" s="811"/>
    </row>
    <row r="289" spans="4:8">
      <c r="D289" s="12"/>
      <c r="F289" s="770"/>
      <c r="H289" s="12"/>
    </row>
    <row r="290" spans="4:8" s="12" customFormat="1"/>
    <row r="291" spans="4:8" s="12" customFormat="1"/>
    <row r="292" spans="4:8" s="12" customFormat="1"/>
    <row r="293" spans="4:8" s="12" customFormat="1"/>
    <row r="294" spans="4:8" s="12" customFormat="1"/>
    <row r="295" spans="4:8" s="12" customFormat="1"/>
    <row r="296" spans="4:8" s="12" customFormat="1"/>
    <row r="297" spans="4:8" s="12" customFormat="1"/>
    <row r="298" spans="4:8" s="12" customFormat="1"/>
    <row r="299" spans="4:8" s="12" customFormat="1"/>
    <row r="300" spans="4:8" s="12" customFormat="1"/>
    <row r="301" spans="4:8" s="12" customFormat="1"/>
    <row r="302" spans="4:8" s="12" customFormat="1"/>
    <row r="303" spans="4:8" s="12" customFormat="1"/>
    <row r="304" spans="4:8"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pans="4:8">
      <c r="D321" s="12"/>
      <c r="H321" s="12"/>
    </row>
    <row r="322" spans="4:8">
      <c r="D322" s="12"/>
      <c r="H322" s="12"/>
    </row>
    <row r="323" spans="4:8">
      <c r="D323" s="12"/>
      <c r="H323" s="12"/>
    </row>
    <row r="324" spans="4:8">
      <c r="D324" s="12"/>
      <c r="H324" s="12"/>
    </row>
    <row r="325" spans="4:8">
      <c r="D325" s="788"/>
      <c r="H325" s="12"/>
    </row>
    <row r="326" spans="4:8">
      <c r="D326" s="788"/>
      <c r="H326" s="12"/>
    </row>
    <row r="327" spans="4:8">
      <c r="D327" s="788"/>
      <c r="H327" s="12"/>
    </row>
    <row r="328" spans="4:8">
      <c r="D328" s="788"/>
      <c r="H328" s="12"/>
    </row>
    <row r="329" spans="4:8">
      <c r="D329" s="788"/>
      <c r="H329" s="12"/>
    </row>
    <row r="330" spans="4:8">
      <c r="D330" s="788"/>
      <c r="H330" s="12"/>
    </row>
  </sheetData>
  <mergeCells count="6">
    <mergeCell ref="C3:N3"/>
    <mergeCell ref="C240:N240"/>
    <mergeCell ref="J8:N8"/>
    <mergeCell ref="C4:N4"/>
    <mergeCell ref="C5:N5"/>
    <mergeCell ref="C6:N6"/>
  </mergeCells>
  <phoneticPr fontId="80" type="noConversion"/>
  <conditionalFormatting sqref="O29">
    <cfRule type="cellIs" dxfId="12" priority="1" stopIfTrue="1" operator="equal">
      <formula>FALSE</formula>
    </cfRule>
  </conditionalFormatting>
  <conditionalFormatting sqref="O148 O237">
    <cfRule type="cellIs" dxfId="11" priority="3" stopIfTrue="1" operator="equal">
      <formula>FALSE</formula>
    </cfRule>
  </conditionalFormatting>
  <pageMargins left="0.5" right="0.5" top="1" bottom="0.5" header="0.5" footer="0.5"/>
  <pageSetup scale="43" fitToHeight="0" orientation="portrait" r:id="rId1"/>
  <headerFooter alignWithMargins="0">
    <oddHeader>&amp;R&amp;18AEP - SPP Formula Rate
TCOS - WS-C-1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X334"/>
  <sheetViews>
    <sheetView zoomScale="81" zoomScaleNormal="81" zoomScaleSheetLayoutView="75" zoomScalePageLayoutView="75" workbookViewId="0">
      <pane xSplit="7" ySplit="9" topLeftCell="H15" activePane="bottomRight" state="frozen"/>
      <selection pane="topRight" activeCell="H1" sqref="H1"/>
      <selection pane="bottomLeft" activeCell="A10" sqref="A10"/>
      <selection pane="bottomRight" activeCell="H29" sqref="H29"/>
    </sheetView>
  </sheetViews>
  <sheetFormatPr defaultColWidth="8.81640625" defaultRowHeight="12.5"/>
  <cols>
    <col min="1" max="1" width="1.54296875" style="12" customWidth="1"/>
    <col min="2" max="2" width="11.54296875" style="12" customWidth="1"/>
    <col min="3" max="3" width="12.26953125" style="12" customWidth="1"/>
    <col min="4" max="4" width="1.54296875" style="770" customWidth="1"/>
    <col min="5" max="5" width="12.54296875" style="922" customWidth="1"/>
    <col min="6" max="6" width="2.81640625" style="12" customWidth="1"/>
    <col min="7" max="7" width="53.453125" style="12" customWidth="1"/>
    <col min="8" max="8" width="20.453125" style="771" bestFit="1" customWidth="1"/>
    <col min="9" max="9" width="11.54296875" style="12" customWidth="1"/>
    <col min="10" max="10" width="16.81640625" style="12" customWidth="1"/>
    <col min="11" max="11" width="16.453125" style="12" customWidth="1"/>
    <col min="12" max="12" width="18.81640625" style="12" customWidth="1"/>
    <col min="13" max="13" width="13.453125" style="12" customWidth="1"/>
    <col min="14" max="14" width="17.1796875" style="12" customWidth="1"/>
    <col min="15" max="15" width="15" style="12" bestFit="1" customWidth="1"/>
    <col min="16" max="16" width="15.54296875" style="12" bestFit="1" customWidth="1"/>
    <col min="17" max="16384" width="8.81640625" style="12"/>
  </cols>
  <sheetData>
    <row r="1" spans="1:24" ht="15.5">
      <c r="A1" s="206"/>
    </row>
    <row r="2" spans="1:24" ht="20">
      <c r="A2" s="772"/>
      <c r="B2" s="773"/>
      <c r="D2" s="12"/>
      <c r="I2" s="20"/>
      <c r="J2" s="20"/>
      <c r="K2" s="20"/>
      <c r="L2" s="20"/>
      <c r="M2" s="20"/>
      <c r="N2" s="36" t="s">
        <v>254</v>
      </c>
      <c r="O2" s="128"/>
    </row>
    <row r="3" spans="1:24" ht="20.25" customHeight="1">
      <c r="A3" s="36"/>
      <c r="B3" s="127"/>
      <c r="C3" s="2292" t="str">
        <f>+'PSO TCOS'!F4</f>
        <v xml:space="preserve">AEP West SPP Member Operating Companies </v>
      </c>
      <c r="D3" s="2292"/>
      <c r="E3" s="2292"/>
      <c r="F3" s="2292"/>
      <c r="G3" s="2292"/>
      <c r="H3" s="2292"/>
      <c r="I3" s="2292"/>
      <c r="J3" s="2292"/>
      <c r="K3" s="2292"/>
      <c r="L3" s="2292"/>
      <c r="M3" s="2292"/>
      <c r="N3" s="2292"/>
      <c r="O3" s="128"/>
    </row>
    <row r="4" spans="1:24" ht="17.5">
      <c r="C4" s="2290" t="str">
        <f>+'PSO TCOS'!F8</f>
        <v>PUBLIC SERVICE COMPANY OF OKLAHOMA</v>
      </c>
      <c r="D4" s="2290"/>
      <c r="E4" s="2290"/>
      <c r="F4" s="2290"/>
      <c r="G4" s="2290"/>
      <c r="H4" s="2290"/>
      <c r="I4" s="2290"/>
      <c r="J4" s="2290"/>
      <c r="K4" s="2290"/>
      <c r="L4" s="2290"/>
      <c r="M4" s="2290"/>
      <c r="N4" s="2290"/>
      <c r="O4" s="128"/>
    </row>
    <row r="5" spans="1:24" ht="18">
      <c r="C5" s="2290" t="s">
        <v>653</v>
      </c>
      <c r="D5" s="2290"/>
      <c r="E5" s="2290"/>
      <c r="F5" s="2290"/>
      <c r="G5" s="2290"/>
      <c r="H5" s="2290"/>
      <c r="I5" s="2290"/>
      <c r="J5" s="2290"/>
      <c r="K5" s="2290"/>
      <c r="L5" s="2290"/>
      <c r="M5" s="2290"/>
      <c r="N5" s="2290"/>
    </row>
    <row r="6" spans="1:24" ht="23.25" customHeight="1">
      <c r="C6" s="2296" t="str">
        <f>"AS OF DECEMBER 31, "&amp;'PSO TCOS'!N2-1&amp;""</f>
        <v>AS OF DECEMBER 31, 2023</v>
      </c>
      <c r="D6" s="2296"/>
      <c r="E6" s="2296"/>
      <c r="F6" s="2296"/>
      <c r="G6" s="2296"/>
      <c r="H6" s="2296"/>
      <c r="I6" s="2296"/>
      <c r="J6" s="2296"/>
      <c r="K6" s="2296"/>
      <c r="L6" s="2296"/>
      <c r="M6" s="2296"/>
      <c r="N6" s="2296"/>
    </row>
    <row r="7" spans="1:24">
      <c r="D7" s="12"/>
    </row>
    <row r="8" spans="1:24">
      <c r="D8" s="12"/>
      <c r="J8" s="2294" t="s">
        <v>152</v>
      </c>
      <c r="K8" s="2294"/>
      <c r="L8" s="2294"/>
      <c r="M8" s="2294"/>
      <c r="N8" s="2294"/>
    </row>
    <row r="9" spans="1:24" ht="26">
      <c r="C9" s="774" t="s">
        <v>390</v>
      </c>
      <c r="D9" s="33"/>
      <c r="E9" s="2211" t="s">
        <v>153</v>
      </c>
      <c r="G9" s="774" t="s">
        <v>306</v>
      </c>
      <c r="H9" s="775" t="s">
        <v>316</v>
      </c>
      <c r="I9" s="48" t="s">
        <v>84</v>
      </c>
      <c r="J9" s="48" t="s">
        <v>154</v>
      </c>
      <c r="K9" s="48" t="s">
        <v>155</v>
      </c>
      <c r="L9" s="774" t="s">
        <v>156</v>
      </c>
      <c r="M9" s="774" t="s">
        <v>157</v>
      </c>
      <c r="N9" s="774" t="s">
        <v>300</v>
      </c>
    </row>
    <row r="10" spans="1:24">
      <c r="C10" s="1806">
        <v>2821001</v>
      </c>
      <c r="D10" s="776" t="s">
        <v>337</v>
      </c>
      <c r="E10" s="795">
        <v>2006</v>
      </c>
      <c r="F10" s="778"/>
      <c r="G10" s="777" t="s">
        <v>1673</v>
      </c>
      <c r="H10" s="2443">
        <v>1849565</v>
      </c>
      <c r="I10" s="780" t="s">
        <v>291</v>
      </c>
      <c r="J10" s="781">
        <f t="shared" ref="J10:J27" si="0">IF(I10="e",H10," ")</f>
        <v>1849565</v>
      </c>
      <c r="K10" s="761" t="str">
        <f t="shared" ref="K10:K30" si="1">IF($I10="T",$H10," ")</f>
        <v xml:space="preserve"> </v>
      </c>
      <c r="L10" s="761" t="str">
        <f t="shared" ref="L10:L30" si="2">IF($I10="PTD",$H10," ")</f>
        <v xml:space="preserve"> </v>
      </c>
      <c r="M10" s="781" t="str">
        <f t="shared" ref="M10:M30" si="3">IF($I10="T&amp;D",$H10," ")</f>
        <v xml:space="preserve"> </v>
      </c>
      <c r="N10" s="781" t="str">
        <f t="shared" ref="N10:N27" si="4">IF(I10="Labor",H10," ")</f>
        <v xml:space="preserve"> </v>
      </c>
      <c r="P10"/>
      <c r="Q10"/>
      <c r="R10"/>
      <c r="S10"/>
      <c r="T10"/>
      <c r="U10"/>
      <c r="V10"/>
      <c r="W10"/>
      <c r="X10"/>
    </row>
    <row r="11" spans="1:24">
      <c r="C11" s="1806">
        <v>2821001</v>
      </c>
      <c r="D11" s="776" t="s">
        <v>337</v>
      </c>
      <c r="E11" s="795">
        <v>2010</v>
      </c>
      <c r="F11" s="778"/>
      <c r="G11" s="777" t="s">
        <v>1674</v>
      </c>
      <c r="H11" s="2443">
        <v>-267257508.84</v>
      </c>
      <c r="I11" s="780" t="s">
        <v>1529</v>
      </c>
      <c r="J11" s="779">
        <f>'PSO WS C-4 Excess FIT'!E43</f>
        <v>-215886949.60748059</v>
      </c>
      <c r="K11" s="779">
        <f>'PSO WS C-4 Excess FIT'!E42</f>
        <v>-51370559.232519433</v>
      </c>
      <c r="L11" s="799"/>
      <c r="M11" s="781" t="str">
        <f t="shared" si="3"/>
        <v xml:space="preserve"> </v>
      </c>
      <c r="N11" s="781" t="str">
        <f>IF(I11="Labor",H11," ")</f>
        <v xml:space="preserve"> </v>
      </c>
      <c r="P11"/>
      <c r="Q11"/>
      <c r="R11"/>
      <c r="S11"/>
      <c r="T11"/>
      <c r="U11"/>
      <c r="V11"/>
      <c r="W11"/>
      <c r="X11"/>
    </row>
    <row r="12" spans="1:24">
      <c r="C12" s="1806">
        <v>2821001</v>
      </c>
      <c r="D12" s="776"/>
      <c r="E12" s="795">
        <v>2011</v>
      </c>
      <c r="F12" s="778"/>
      <c r="G12" s="777" t="s">
        <v>1675</v>
      </c>
      <c r="H12" s="2443">
        <v>2.6</v>
      </c>
      <c r="I12" s="780" t="s">
        <v>1529</v>
      </c>
      <c r="J12" s="779">
        <f>'PSO WS C-4 Excess FIT'!F26</f>
        <v>2.6</v>
      </c>
      <c r="K12" s="779">
        <f>'PSO WS C-4 Excess FIT'!F25</f>
        <v>0</v>
      </c>
      <c r="L12" s="761" t="str">
        <f t="shared" si="2"/>
        <v xml:space="preserve"> </v>
      </c>
      <c r="M12" s="781"/>
      <c r="N12" s="781"/>
      <c r="P12"/>
      <c r="Q12"/>
      <c r="R12"/>
      <c r="S12"/>
      <c r="T12"/>
      <c r="U12"/>
      <c r="V12"/>
      <c r="W12"/>
      <c r="X12"/>
    </row>
    <row r="13" spans="1:24">
      <c r="C13" s="1806">
        <v>2821001</v>
      </c>
      <c r="D13" s="776" t="s">
        <v>337</v>
      </c>
      <c r="E13" s="795">
        <v>6002</v>
      </c>
      <c r="F13" s="778"/>
      <c r="G13" s="777" t="s">
        <v>1676</v>
      </c>
      <c r="H13" s="2443">
        <v>-8963972.6899999995</v>
      </c>
      <c r="I13" s="780" t="s">
        <v>158</v>
      </c>
      <c r="J13" s="781" t="str">
        <f t="shared" si="0"/>
        <v xml:space="preserve"> </v>
      </c>
      <c r="K13" s="761" t="str">
        <f t="shared" si="1"/>
        <v xml:space="preserve"> </v>
      </c>
      <c r="L13" s="761">
        <f t="shared" si="2"/>
        <v>-8963972.6899999995</v>
      </c>
      <c r="M13" s="781" t="str">
        <f t="shared" si="3"/>
        <v xml:space="preserve"> </v>
      </c>
      <c r="N13" s="781" t="str">
        <f t="shared" si="4"/>
        <v xml:space="preserve"> </v>
      </c>
      <c r="P13"/>
    </row>
    <row r="14" spans="1:24">
      <c r="C14" s="1806">
        <v>2821001</v>
      </c>
      <c r="D14" s="776" t="s">
        <v>337</v>
      </c>
      <c r="E14" s="795">
        <v>6004</v>
      </c>
      <c r="F14" s="778"/>
      <c r="G14" s="777" t="s">
        <v>1677</v>
      </c>
      <c r="H14" s="2443">
        <v>-6843860.4800000004</v>
      </c>
      <c r="I14" s="780" t="s">
        <v>291</v>
      </c>
      <c r="J14" s="781">
        <f t="shared" si="0"/>
        <v>-6843860.4800000004</v>
      </c>
      <c r="K14" s="761" t="str">
        <f t="shared" si="1"/>
        <v xml:space="preserve"> </v>
      </c>
      <c r="L14" s="761" t="str">
        <f t="shared" si="2"/>
        <v xml:space="preserve"> </v>
      </c>
      <c r="M14" s="781" t="str">
        <f t="shared" si="3"/>
        <v xml:space="preserve"> </v>
      </c>
      <c r="N14" s="781" t="str">
        <f t="shared" si="4"/>
        <v xml:space="preserve"> </v>
      </c>
      <c r="P14"/>
    </row>
    <row r="15" spans="1:24">
      <c r="C15" s="1806">
        <v>2821001</v>
      </c>
      <c r="D15" s="776"/>
      <c r="E15" s="795">
        <v>6006</v>
      </c>
      <c r="F15" s="778"/>
      <c r="G15" s="777" t="s">
        <v>1678</v>
      </c>
      <c r="H15" s="2443">
        <v>279832.19999999995</v>
      </c>
      <c r="I15" s="780" t="s">
        <v>158</v>
      </c>
      <c r="J15" s="781" t="str">
        <f>IF(I15="e",H15," ")</f>
        <v xml:space="preserve"> </v>
      </c>
      <c r="K15" s="761" t="str">
        <f t="shared" si="1"/>
        <v xml:space="preserve"> </v>
      </c>
      <c r="L15" s="761">
        <f t="shared" si="2"/>
        <v>279832.19999999995</v>
      </c>
      <c r="M15" s="781" t="str">
        <f t="shared" si="3"/>
        <v xml:space="preserve"> </v>
      </c>
      <c r="N15" s="781" t="str">
        <f>IF(I15="Labor",H15," ")</f>
        <v xml:space="preserve"> </v>
      </c>
      <c r="P15"/>
    </row>
    <row r="16" spans="1:24">
      <c r="C16" s="1806">
        <v>2821001</v>
      </c>
      <c r="D16" s="776"/>
      <c r="E16" s="795">
        <v>6007</v>
      </c>
      <c r="F16" s="778"/>
      <c r="G16" s="777" t="s">
        <v>1679</v>
      </c>
      <c r="H16" s="2443">
        <v>16123830.800000001</v>
      </c>
      <c r="I16" s="780" t="s">
        <v>291</v>
      </c>
      <c r="J16" s="781">
        <f>IF(I16="e",H16," ")</f>
        <v>16123830.800000001</v>
      </c>
      <c r="K16" s="761" t="str">
        <f t="shared" si="1"/>
        <v xml:space="preserve"> </v>
      </c>
      <c r="L16" s="761" t="str">
        <f t="shared" si="2"/>
        <v xml:space="preserve"> </v>
      </c>
      <c r="M16" s="781" t="str">
        <f t="shared" si="3"/>
        <v xml:space="preserve"> </v>
      </c>
      <c r="N16" s="781" t="str">
        <f>IF(I16="Labor",H16," ")</f>
        <v xml:space="preserve"> </v>
      </c>
      <c r="P16"/>
    </row>
    <row r="17" spans="3:16">
      <c r="C17" s="1806">
        <v>2821001</v>
      </c>
      <c r="D17" s="776"/>
      <c r="E17" s="795">
        <v>6009</v>
      </c>
      <c r="F17" s="778"/>
      <c r="G17" s="777" t="s">
        <v>1680</v>
      </c>
      <c r="H17" s="2443">
        <v>-100335714.18000001</v>
      </c>
      <c r="I17" s="780" t="s">
        <v>158</v>
      </c>
      <c r="J17" s="781" t="str">
        <f>IF(I17="e",H17," ")</f>
        <v xml:space="preserve"> </v>
      </c>
      <c r="K17" s="761" t="str">
        <f t="shared" si="1"/>
        <v xml:space="preserve"> </v>
      </c>
      <c r="L17" s="761">
        <f t="shared" si="2"/>
        <v>-100335714.18000001</v>
      </c>
      <c r="M17" s="781" t="str">
        <f t="shared" si="3"/>
        <v xml:space="preserve"> </v>
      </c>
      <c r="N17" s="781" t="str">
        <f>IF(I17="Labor",H17," ")</f>
        <v xml:space="preserve"> </v>
      </c>
      <c r="P17"/>
    </row>
    <row r="18" spans="3:16">
      <c r="C18" s="1806">
        <v>2821001</v>
      </c>
      <c r="D18" s="788"/>
      <c r="E18" s="2212">
        <v>6011</v>
      </c>
      <c r="F18" s="778"/>
      <c r="G18" s="777" t="s">
        <v>1681</v>
      </c>
      <c r="H18" s="2443">
        <v>16124767.98</v>
      </c>
      <c r="I18" s="780" t="s">
        <v>158</v>
      </c>
      <c r="J18" s="781" t="str">
        <f t="shared" ref="J18" si="5">IF(I18="e",H18," ")</f>
        <v xml:space="preserve"> </v>
      </c>
      <c r="K18" s="761" t="str">
        <f>IF($I18="T",$H18," ")</f>
        <v xml:space="preserve"> </v>
      </c>
      <c r="L18" s="761">
        <f>IF($I18="PTD",$H18," ")</f>
        <v>16124767.98</v>
      </c>
      <c r="M18" s="781" t="str">
        <f>IF($I18="T&amp;D",$H18," ")</f>
        <v xml:space="preserve"> </v>
      </c>
      <c r="N18" s="781" t="str">
        <f>IF(I18="Labor",H18," ")</f>
        <v xml:space="preserve"> </v>
      </c>
    </row>
    <row r="19" spans="3:16">
      <c r="C19" s="1806">
        <v>2821001</v>
      </c>
      <c r="D19" s="776"/>
      <c r="E19" s="795">
        <v>6018</v>
      </c>
      <c r="F19" s="778"/>
      <c r="G19" s="777" t="s">
        <v>1682</v>
      </c>
      <c r="H19" s="2443">
        <v>-523267057.63999999</v>
      </c>
      <c r="I19" s="780" t="s">
        <v>158</v>
      </c>
      <c r="J19" s="779">
        <v>-12493255.078776546</v>
      </c>
      <c r="K19" s="761"/>
      <c r="L19" s="779">
        <f>H19-J19</f>
        <v>-510773802.56122345</v>
      </c>
      <c r="M19" s="781"/>
      <c r="N19" s="781"/>
      <c r="P19"/>
    </row>
    <row r="20" spans="3:16">
      <c r="C20" s="1806">
        <v>2821001</v>
      </c>
      <c r="D20" s="776" t="s">
        <v>337</v>
      </c>
      <c r="E20" s="795">
        <v>6019</v>
      </c>
      <c r="F20" s="778"/>
      <c r="G20" s="777" t="s">
        <v>1683</v>
      </c>
      <c r="H20" s="2443">
        <v>-0.84</v>
      </c>
      <c r="I20" s="780" t="s">
        <v>158</v>
      </c>
      <c r="J20" s="781" t="str">
        <f t="shared" si="0"/>
        <v xml:space="preserve"> </v>
      </c>
      <c r="K20" s="761" t="str">
        <f t="shared" si="1"/>
        <v xml:space="preserve"> </v>
      </c>
      <c r="L20" s="761">
        <f t="shared" si="2"/>
        <v>-0.84</v>
      </c>
      <c r="M20" s="781" t="str">
        <f t="shared" si="3"/>
        <v xml:space="preserve"> </v>
      </c>
      <c r="N20" s="781" t="str">
        <f t="shared" si="4"/>
        <v xml:space="preserve"> </v>
      </c>
      <c r="P20"/>
    </row>
    <row r="21" spans="3:16">
      <c r="C21" s="1806">
        <v>2821001</v>
      </c>
      <c r="D21" s="776" t="s">
        <v>337</v>
      </c>
      <c r="E21" s="795">
        <v>6021</v>
      </c>
      <c r="F21" s="778"/>
      <c r="G21" s="777" t="s">
        <v>1684</v>
      </c>
      <c r="H21" s="2443">
        <v>-2232364.4700000002</v>
      </c>
      <c r="I21" s="780" t="s">
        <v>291</v>
      </c>
      <c r="J21" s="781">
        <f t="shared" si="0"/>
        <v>-2232364.4700000002</v>
      </c>
      <c r="K21" s="761" t="str">
        <f t="shared" si="1"/>
        <v xml:space="preserve"> </v>
      </c>
      <c r="L21" s="761" t="str">
        <f t="shared" si="2"/>
        <v xml:space="preserve"> </v>
      </c>
      <c r="M21" s="781" t="str">
        <f t="shared" si="3"/>
        <v xml:space="preserve"> </v>
      </c>
      <c r="N21" s="781" t="str">
        <f t="shared" si="4"/>
        <v xml:space="preserve"> </v>
      </c>
      <c r="P21"/>
    </row>
    <row r="22" spans="3:16">
      <c r="C22" s="1806">
        <v>2821001</v>
      </c>
      <c r="D22" s="776" t="s">
        <v>337</v>
      </c>
      <c r="E22" s="795">
        <v>6022</v>
      </c>
      <c r="F22" s="778"/>
      <c r="G22" s="777" t="s">
        <v>1685</v>
      </c>
      <c r="H22" s="2443">
        <v>-19593769.030000001</v>
      </c>
      <c r="I22" s="780" t="s">
        <v>158</v>
      </c>
      <c r="J22" s="781" t="str">
        <f>IF(I22="e",H22," ")</f>
        <v xml:space="preserve"> </v>
      </c>
      <c r="K22" s="761" t="str">
        <f t="shared" si="1"/>
        <v xml:space="preserve"> </v>
      </c>
      <c r="L22" s="761">
        <f t="shared" si="2"/>
        <v>-19593769.030000001</v>
      </c>
      <c r="M22" s="781" t="str">
        <f t="shared" si="3"/>
        <v xml:space="preserve"> </v>
      </c>
      <c r="N22" s="781" t="str">
        <f>IF(I22="Labor",H22," ")</f>
        <v xml:space="preserve"> </v>
      </c>
      <c r="P22"/>
    </row>
    <row r="23" spans="3:16">
      <c r="C23" s="1806">
        <v>2821001</v>
      </c>
      <c r="D23" s="776" t="s">
        <v>337</v>
      </c>
      <c r="E23" s="795">
        <v>6024</v>
      </c>
      <c r="F23" s="778"/>
      <c r="G23" s="777" t="s">
        <v>1686</v>
      </c>
      <c r="H23" s="2443">
        <v>-192040014.78</v>
      </c>
      <c r="I23" s="780" t="s">
        <v>158</v>
      </c>
      <c r="J23" s="781" t="str">
        <f>IF(I23="e",H23," ")</f>
        <v xml:space="preserve"> </v>
      </c>
      <c r="K23" s="761" t="str">
        <f t="shared" si="1"/>
        <v xml:space="preserve"> </v>
      </c>
      <c r="L23" s="761">
        <f t="shared" si="2"/>
        <v>-192040014.78</v>
      </c>
      <c r="M23" s="781" t="str">
        <f t="shared" si="3"/>
        <v xml:space="preserve"> </v>
      </c>
      <c r="N23" s="781" t="str">
        <f>IF(I23="Labor",H23," ")</f>
        <v xml:space="preserve"> </v>
      </c>
      <c r="P23"/>
    </row>
    <row r="24" spans="3:16">
      <c r="C24" s="1806">
        <v>2821001</v>
      </c>
      <c r="D24" s="776" t="s">
        <v>337</v>
      </c>
      <c r="E24" s="795">
        <v>6026</v>
      </c>
      <c r="F24" s="778"/>
      <c r="G24" s="777" t="s">
        <v>1687</v>
      </c>
      <c r="H24" s="2443">
        <v>21581.72</v>
      </c>
      <c r="I24" s="780" t="s">
        <v>300</v>
      </c>
      <c r="J24" s="781" t="str">
        <f t="shared" si="0"/>
        <v xml:space="preserve"> </v>
      </c>
      <c r="K24" s="761" t="str">
        <f t="shared" si="1"/>
        <v xml:space="preserve"> </v>
      </c>
      <c r="L24" s="761" t="str">
        <f t="shared" si="2"/>
        <v xml:space="preserve"> </v>
      </c>
      <c r="M24" s="781" t="str">
        <f t="shared" si="3"/>
        <v xml:space="preserve"> </v>
      </c>
      <c r="N24" s="781">
        <f t="shared" si="4"/>
        <v>21581.72</v>
      </c>
      <c r="P24"/>
    </row>
    <row r="25" spans="3:16">
      <c r="C25" s="1806">
        <v>2821001</v>
      </c>
      <c r="D25" s="776" t="s">
        <v>337</v>
      </c>
      <c r="E25" s="795">
        <v>6503</v>
      </c>
      <c r="F25" s="778"/>
      <c r="G25" s="777" t="s">
        <v>1688</v>
      </c>
      <c r="H25" s="2443">
        <v>-239768.59</v>
      </c>
      <c r="I25" s="780" t="s">
        <v>291</v>
      </c>
      <c r="J25" s="781">
        <f t="shared" si="0"/>
        <v>-239768.59</v>
      </c>
      <c r="K25" s="761" t="str">
        <f t="shared" si="1"/>
        <v xml:space="preserve"> </v>
      </c>
      <c r="L25" s="761" t="str">
        <f t="shared" si="2"/>
        <v xml:space="preserve"> </v>
      </c>
      <c r="M25" s="781" t="str">
        <f t="shared" si="3"/>
        <v xml:space="preserve"> </v>
      </c>
      <c r="N25" s="781" t="str">
        <f t="shared" si="4"/>
        <v xml:space="preserve"> </v>
      </c>
      <c r="P25"/>
    </row>
    <row r="26" spans="3:16">
      <c r="C26" s="1806">
        <v>2821001</v>
      </c>
      <c r="D26" s="776" t="s">
        <v>337</v>
      </c>
      <c r="E26" s="795">
        <v>6523</v>
      </c>
      <c r="F26" s="778"/>
      <c r="G26" s="777" t="s">
        <v>1689</v>
      </c>
      <c r="H26" s="2443">
        <v>7902343.0499999998</v>
      </c>
      <c r="I26" s="780" t="s">
        <v>300</v>
      </c>
      <c r="J26" s="781" t="str">
        <f t="shared" si="0"/>
        <v xml:space="preserve"> </v>
      </c>
      <c r="K26" s="761" t="str">
        <f t="shared" si="1"/>
        <v xml:space="preserve"> </v>
      </c>
      <c r="L26" s="761" t="str">
        <f t="shared" si="2"/>
        <v xml:space="preserve"> </v>
      </c>
      <c r="M26" s="781" t="str">
        <f t="shared" si="3"/>
        <v xml:space="preserve"> </v>
      </c>
      <c r="N26" s="781">
        <f t="shared" si="4"/>
        <v>7902343.0499999998</v>
      </c>
      <c r="P26"/>
    </row>
    <row r="27" spans="3:16">
      <c r="C27" s="1806">
        <v>2821001</v>
      </c>
      <c r="D27" s="776" t="s">
        <v>337</v>
      </c>
      <c r="E27" s="795">
        <v>7585</v>
      </c>
      <c r="F27" s="778"/>
      <c r="G27" s="777" t="s">
        <v>1690</v>
      </c>
      <c r="H27" s="2443">
        <v>-23680134.149999999</v>
      </c>
      <c r="I27" s="780" t="s">
        <v>291</v>
      </c>
      <c r="J27" s="781">
        <f t="shared" si="0"/>
        <v>-23680134.149999999</v>
      </c>
      <c r="K27" s="761" t="str">
        <f t="shared" si="1"/>
        <v xml:space="preserve"> </v>
      </c>
      <c r="L27" s="761" t="str">
        <f t="shared" si="2"/>
        <v xml:space="preserve"> </v>
      </c>
      <c r="M27" s="781" t="str">
        <f t="shared" si="3"/>
        <v xml:space="preserve"> </v>
      </c>
      <c r="N27" s="781" t="str">
        <f t="shared" si="4"/>
        <v xml:space="preserve"> </v>
      </c>
      <c r="P27"/>
    </row>
    <row r="28" spans="3:16">
      <c r="C28" s="1806">
        <v>2821001</v>
      </c>
      <c r="D28" s="776" t="s">
        <v>337</v>
      </c>
      <c r="E28" s="795">
        <v>8004</v>
      </c>
      <c r="F28" s="778"/>
      <c r="G28" s="777" t="s">
        <v>1691</v>
      </c>
      <c r="H28" s="2443">
        <v>-0.15</v>
      </c>
      <c r="I28" s="780" t="s">
        <v>158</v>
      </c>
      <c r="J28" s="781" t="str">
        <f>IF(I28="e",H28," ")</f>
        <v xml:space="preserve"> </v>
      </c>
      <c r="K28" s="761" t="str">
        <f t="shared" si="1"/>
        <v xml:space="preserve"> </v>
      </c>
      <c r="L28" s="761">
        <f t="shared" si="2"/>
        <v>-0.15</v>
      </c>
      <c r="M28" s="781" t="str">
        <f t="shared" si="3"/>
        <v xml:space="preserve"> </v>
      </c>
      <c r="N28" s="781" t="str">
        <f>IF(I28="Labor",H28," ")</f>
        <v xml:space="preserve"> </v>
      </c>
      <c r="P28"/>
    </row>
    <row r="29" spans="3:16" ht="13">
      <c r="C29" s="1806">
        <v>2821001</v>
      </c>
      <c r="D29" s="783"/>
      <c r="E29" s="785" t="s">
        <v>1269</v>
      </c>
      <c r="F29" s="778"/>
      <c r="G29" s="785" t="s">
        <v>1285</v>
      </c>
      <c r="H29" s="2443">
        <v>60823471.594936952</v>
      </c>
      <c r="I29" s="780" t="s">
        <v>1286</v>
      </c>
      <c r="J29" s="779">
        <v>47823518.163047001</v>
      </c>
      <c r="K29" s="779">
        <v>12999953.431889955</v>
      </c>
      <c r="L29" s="761" t="str">
        <f t="shared" ref="L29" si="6">IF($I29="PTD",$H29," ")</f>
        <v xml:space="preserve"> </v>
      </c>
      <c r="M29" s="781" t="str">
        <f t="shared" si="3"/>
        <v xml:space="preserve"> </v>
      </c>
      <c r="N29" s="781" t="str">
        <f t="shared" ref="N29:N30" si="7">IF(I29="Labor",H29," ")</f>
        <v xml:space="preserve"> </v>
      </c>
      <c r="O29" s="782"/>
      <c r="P29"/>
    </row>
    <row r="30" spans="3:16" ht="13">
      <c r="C30" s="1806">
        <v>2821001</v>
      </c>
      <c r="D30" s="783"/>
      <c r="E30" s="785" t="s">
        <v>1269</v>
      </c>
      <c r="F30" s="778"/>
      <c r="G30" s="785" t="s">
        <v>1285</v>
      </c>
      <c r="H30" s="2207">
        <f>-H29</f>
        <v>-60823471.594936952</v>
      </c>
      <c r="I30" s="784" t="s">
        <v>291</v>
      </c>
      <c r="J30" s="781">
        <f t="shared" ref="J30" si="8">IF(I30="e",H30," ")</f>
        <v>-60823471.594936952</v>
      </c>
      <c r="K30" s="761" t="str">
        <f t="shared" si="1"/>
        <v xml:space="preserve"> </v>
      </c>
      <c r="L30" s="761" t="str">
        <f t="shared" si="2"/>
        <v xml:space="preserve"> </v>
      </c>
      <c r="M30" s="781" t="str">
        <f t="shared" si="3"/>
        <v xml:space="preserve"> </v>
      </c>
      <c r="N30" s="781" t="str">
        <f t="shared" si="7"/>
        <v xml:space="preserve"> </v>
      </c>
      <c r="O30" s="782"/>
      <c r="P30"/>
    </row>
    <row r="31" spans="3:16" ht="13">
      <c r="C31" s="33">
        <v>282.10000000000002</v>
      </c>
      <c r="D31" s="12"/>
      <c r="F31" s="778"/>
      <c r="G31" s="561" t="s">
        <v>159</v>
      </c>
      <c r="H31" s="2208">
        <f>SUM(H10:H30)</f>
        <v>-1102152242.4900002</v>
      </c>
      <c r="I31" s="761"/>
      <c r="J31" s="790">
        <f>SUM(J10:J30)</f>
        <v>-256402887.4081471</v>
      </c>
      <c r="K31" s="790">
        <f>SUM(K10:K30)</f>
        <v>-38370605.800629482</v>
      </c>
      <c r="L31" s="790">
        <f>SUM(L10:L30)</f>
        <v>-815302674.0512234</v>
      </c>
      <c r="M31" s="790">
        <f>SUM(M10:M30)</f>
        <v>0</v>
      </c>
      <c r="N31" s="790">
        <f>SUM(N10:N30)</f>
        <v>7923924.7699999996</v>
      </c>
      <c r="O31" s="782">
        <f>SUM(J31:N31)</f>
        <v>-1102152242.49</v>
      </c>
    </row>
    <row r="32" spans="3:16" ht="25">
      <c r="F32" s="778"/>
      <c r="G32" s="791" t="s">
        <v>169</v>
      </c>
      <c r="H32" s="712">
        <v>-1102152242</v>
      </c>
      <c r="I32"/>
      <c r="J32" s="792"/>
      <c r="K32" s="761"/>
      <c r="L32" s="761"/>
      <c r="M32" s="761"/>
      <c r="N32" s="761"/>
    </row>
    <row r="33" spans="2:14">
      <c r="I33" s="761"/>
      <c r="J33" s="761"/>
      <c r="K33" s="761"/>
      <c r="L33" s="761"/>
      <c r="M33" s="761"/>
      <c r="N33" s="761"/>
    </row>
    <row r="34" spans="2:14">
      <c r="I34" s="761"/>
      <c r="J34" s="761"/>
      <c r="K34" s="761"/>
      <c r="L34" s="761"/>
      <c r="M34" s="761"/>
      <c r="N34" s="761"/>
    </row>
    <row r="35" spans="2:14">
      <c r="C35" s="1806">
        <v>2831001</v>
      </c>
      <c r="D35" s="794" t="s">
        <v>337</v>
      </c>
      <c r="E35" s="795">
        <v>2003</v>
      </c>
      <c r="F35" s="778"/>
      <c r="G35" s="777" t="s">
        <v>1693</v>
      </c>
      <c r="H35" s="2443">
        <v>10348220.140000001</v>
      </c>
      <c r="I35" s="780" t="s">
        <v>158</v>
      </c>
      <c r="J35" s="781" t="str">
        <f t="shared" ref="J35" si="9">IF(I35="e",H35," ")</f>
        <v xml:space="preserve"> </v>
      </c>
      <c r="K35" s="761" t="str">
        <f t="shared" ref="K35:K70" si="10">IF($I35="T",$H35," ")</f>
        <v xml:space="preserve"> </v>
      </c>
      <c r="L35" s="761">
        <f t="shared" ref="L35:L70" si="11">IF($I35="PTD",$H35," ")</f>
        <v>10348220.140000001</v>
      </c>
      <c r="M35" s="781" t="str">
        <f t="shared" ref="M35:M70" si="12">IF($I35="T&amp;D",$H35," ")</f>
        <v xml:space="preserve"> </v>
      </c>
      <c r="N35" s="781" t="str">
        <f t="shared" ref="N35" si="13">IF(I35="Labor",H35," ")</f>
        <v xml:space="preserve"> </v>
      </c>
    </row>
    <row r="36" spans="2:14">
      <c r="C36" s="1806">
        <v>2831001</v>
      </c>
      <c r="D36" s="794" t="s">
        <v>337</v>
      </c>
      <c r="E36" s="795">
        <v>2007</v>
      </c>
      <c r="F36" s="778"/>
      <c r="G36" s="777" t="s">
        <v>1694</v>
      </c>
      <c r="H36" s="2443">
        <v>-868649</v>
      </c>
      <c r="I36" s="780" t="s">
        <v>291</v>
      </c>
      <c r="J36" s="781">
        <f t="shared" ref="J36:J70" si="14">IF(I36="e",H36," ")</f>
        <v>-868649</v>
      </c>
      <c r="K36" s="761" t="str">
        <f t="shared" si="10"/>
        <v xml:space="preserve"> </v>
      </c>
      <c r="L36" s="761" t="str">
        <f t="shared" si="11"/>
        <v xml:space="preserve"> </v>
      </c>
      <c r="M36" s="781" t="str">
        <f t="shared" si="12"/>
        <v xml:space="preserve"> </v>
      </c>
      <c r="N36" s="781" t="str">
        <f t="shared" ref="N36:N70" si="15">IF(I36="Labor",H36," ")</f>
        <v xml:space="preserve"> </v>
      </c>
    </row>
    <row r="37" spans="2:14">
      <c r="C37" s="1806">
        <v>2831001</v>
      </c>
      <c r="D37" s="794" t="s">
        <v>337</v>
      </c>
      <c r="E37" s="795">
        <v>2008</v>
      </c>
      <c r="F37" s="778"/>
      <c r="G37" s="777" t="s">
        <v>1695</v>
      </c>
      <c r="H37" s="2443">
        <v>-393952.23</v>
      </c>
      <c r="I37" s="780" t="s">
        <v>291</v>
      </c>
      <c r="J37" s="781">
        <f t="shared" si="14"/>
        <v>-393952.23</v>
      </c>
      <c r="K37" s="761" t="str">
        <f t="shared" si="10"/>
        <v xml:space="preserve"> </v>
      </c>
      <c r="L37" s="761" t="str">
        <f t="shared" si="11"/>
        <v xml:space="preserve"> </v>
      </c>
      <c r="M37" s="781" t="str">
        <f t="shared" si="12"/>
        <v xml:space="preserve"> </v>
      </c>
      <c r="N37" s="781" t="str">
        <f t="shared" si="15"/>
        <v xml:space="preserve"> </v>
      </c>
    </row>
    <row r="38" spans="2:14">
      <c r="C38" s="1806">
        <v>2831001</v>
      </c>
      <c r="D38" s="794"/>
      <c r="E38" s="795">
        <v>2012</v>
      </c>
      <c r="F38" s="778"/>
      <c r="G38" s="777" t="s">
        <v>1696</v>
      </c>
      <c r="H38" s="2443">
        <v>-0.87</v>
      </c>
      <c r="I38" s="780" t="s">
        <v>1529</v>
      </c>
      <c r="J38" s="779">
        <f>'PSO WS C-4 Excess FIT'!G26</f>
        <v>-0.87</v>
      </c>
      <c r="K38" s="779">
        <f>'PSO WS C-4 Excess FIT'!G25</f>
        <v>0</v>
      </c>
      <c r="L38" s="761" t="str">
        <f t="shared" si="11"/>
        <v xml:space="preserve"> </v>
      </c>
      <c r="M38" s="781" t="str">
        <f t="shared" si="12"/>
        <v xml:space="preserve"> </v>
      </c>
      <c r="N38" s="781" t="str">
        <f t="shared" si="15"/>
        <v xml:space="preserve"> </v>
      </c>
    </row>
    <row r="39" spans="2:14">
      <c r="B39" s="286"/>
      <c r="C39" s="1806">
        <v>2831001</v>
      </c>
      <c r="D39" s="794"/>
      <c r="E39" s="795">
        <v>3509</v>
      </c>
      <c r="F39" s="778"/>
      <c r="G39" s="777" t="s">
        <v>1697</v>
      </c>
      <c r="H39" s="2443">
        <v>-8341847.4900000002</v>
      </c>
      <c r="I39" s="780" t="s">
        <v>291</v>
      </c>
      <c r="J39" s="781">
        <f t="shared" si="14"/>
        <v>-8341847.4900000002</v>
      </c>
      <c r="K39" s="761" t="str">
        <f t="shared" si="10"/>
        <v xml:space="preserve"> </v>
      </c>
      <c r="L39" s="761" t="str">
        <f t="shared" si="11"/>
        <v xml:space="preserve"> </v>
      </c>
      <c r="M39" s="781" t="str">
        <f t="shared" si="12"/>
        <v xml:space="preserve"> </v>
      </c>
      <c r="N39" s="781" t="str">
        <f t="shared" si="15"/>
        <v xml:space="preserve"> </v>
      </c>
    </row>
    <row r="40" spans="2:14">
      <c r="C40" s="1806">
        <v>2831001</v>
      </c>
      <c r="D40" s="794" t="s">
        <v>337</v>
      </c>
      <c r="E40" s="795">
        <v>4031</v>
      </c>
      <c r="F40" s="778"/>
      <c r="G40" s="777" t="s">
        <v>1698</v>
      </c>
      <c r="H40" s="2443">
        <v>-6716398.4199999999</v>
      </c>
      <c r="I40" s="780" t="s">
        <v>291</v>
      </c>
      <c r="J40" s="781">
        <f t="shared" si="14"/>
        <v>-6716398.4199999999</v>
      </c>
      <c r="K40" s="761" t="str">
        <f t="shared" si="10"/>
        <v xml:space="preserve"> </v>
      </c>
      <c r="L40" s="761" t="str">
        <f t="shared" si="11"/>
        <v xml:space="preserve"> </v>
      </c>
      <c r="M40" s="781" t="str">
        <f t="shared" si="12"/>
        <v xml:space="preserve"> </v>
      </c>
      <c r="N40" s="781" t="str">
        <f t="shared" si="15"/>
        <v xml:space="preserve"> </v>
      </c>
    </row>
    <row r="41" spans="2:14">
      <c r="C41" s="1806">
        <v>2831001</v>
      </c>
      <c r="D41" s="794"/>
      <c r="E41" s="795">
        <v>6006</v>
      </c>
      <c r="F41" s="778"/>
      <c r="G41" s="777" t="s">
        <v>1678</v>
      </c>
      <c r="H41" s="2443">
        <v>272241.81</v>
      </c>
      <c r="I41" s="780" t="s">
        <v>158</v>
      </c>
      <c r="J41" s="781" t="str">
        <f t="shared" si="14"/>
        <v xml:space="preserve"> </v>
      </c>
      <c r="K41" s="761" t="str">
        <f t="shared" si="10"/>
        <v xml:space="preserve"> </v>
      </c>
      <c r="L41" s="761">
        <f t="shared" si="11"/>
        <v>272241.81</v>
      </c>
      <c r="M41" s="781" t="str">
        <f t="shared" si="12"/>
        <v xml:space="preserve"> </v>
      </c>
      <c r="N41" s="781" t="str">
        <f t="shared" si="15"/>
        <v xml:space="preserve"> </v>
      </c>
    </row>
    <row r="42" spans="2:14">
      <c r="C42" s="1806">
        <v>2831001</v>
      </c>
      <c r="D42" s="794" t="s">
        <v>337</v>
      </c>
      <c r="E42" s="795">
        <v>7026</v>
      </c>
      <c r="F42" s="778"/>
      <c r="G42" s="777" t="s">
        <v>1699</v>
      </c>
      <c r="H42" s="2443">
        <v>6264424.5599999996</v>
      </c>
      <c r="I42" s="780" t="s">
        <v>291</v>
      </c>
      <c r="J42" s="781">
        <f t="shared" si="14"/>
        <v>6264424.5599999996</v>
      </c>
      <c r="K42" s="761" t="str">
        <f t="shared" si="10"/>
        <v xml:space="preserve"> </v>
      </c>
      <c r="L42" s="761" t="str">
        <f t="shared" si="11"/>
        <v xml:space="preserve"> </v>
      </c>
      <c r="M42" s="781" t="str">
        <f t="shared" si="12"/>
        <v xml:space="preserve"> </v>
      </c>
      <c r="N42" s="781" t="str">
        <f t="shared" si="15"/>
        <v xml:space="preserve"> </v>
      </c>
    </row>
    <row r="43" spans="2:14">
      <c r="C43" s="1806">
        <v>2831001</v>
      </c>
      <c r="D43" s="794" t="s">
        <v>337</v>
      </c>
      <c r="E43" s="795">
        <v>7032</v>
      </c>
      <c r="F43" s="778"/>
      <c r="G43" s="777" t="s">
        <v>1700</v>
      </c>
      <c r="H43" s="2443">
        <v>-13603158.27</v>
      </c>
      <c r="I43" s="780" t="s">
        <v>300</v>
      </c>
      <c r="J43" s="781" t="str">
        <f t="shared" si="14"/>
        <v xml:space="preserve"> </v>
      </c>
      <c r="K43" s="761" t="str">
        <f t="shared" si="10"/>
        <v xml:space="preserve"> </v>
      </c>
      <c r="L43" s="761" t="str">
        <f t="shared" si="11"/>
        <v xml:space="preserve"> </v>
      </c>
      <c r="M43" s="781" t="str">
        <f t="shared" si="12"/>
        <v xml:space="preserve"> </v>
      </c>
      <c r="N43" s="781">
        <f t="shared" si="15"/>
        <v>-13603158.27</v>
      </c>
    </row>
    <row r="44" spans="2:14">
      <c r="C44" s="1806">
        <v>2831001</v>
      </c>
      <c r="D44" s="794"/>
      <c r="E44" s="795">
        <v>7033</v>
      </c>
      <c r="F44" s="778"/>
      <c r="G44" s="777" t="s">
        <v>1701</v>
      </c>
      <c r="H44" s="2443">
        <v>9795433.4100000001</v>
      </c>
      <c r="I44" s="780" t="s">
        <v>291</v>
      </c>
      <c r="J44" s="781">
        <f t="shared" si="14"/>
        <v>9795433.4100000001</v>
      </c>
      <c r="K44" s="761" t="str">
        <f t="shared" si="10"/>
        <v xml:space="preserve"> </v>
      </c>
      <c r="L44" s="761" t="str">
        <f t="shared" si="11"/>
        <v xml:space="preserve"> </v>
      </c>
      <c r="M44" s="781" t="str">
        <f t="shared" si="12"/>
        <v xml:space="preserve"> </v>
      </c>
      <c r="N44" s="781" t="str">
        <f t="shared" si="15"/>
        <v xml:space="preserve"> </v>
      </c>
    </row>
    <row r="45" spans="2:14">
      <c r="C45" s="1806">
        <v>2831001</v>
      </c>
      <c r="D45" s="794"/>
      <c r="E45" s="795">
        <v>7085</v>
      </c>
      <c r="F45" s="778"/>
      <c r="G45" s="777" t="s">
        <v>1702</v>
      </c>
      <c r="H45" s="2443">
        <v>-24099192.57</v>
      </c>
      <c r="I45" s="780" t="s">
        <v>158</v>
      </c>
      <c r="J45" s="781" t="str">
        <f t="shared" si="14"/>
        <v xml:space="preserve"> </v>
      </c>
      <c r="K45" s="761" t="str">
        <f t="shared" si="10"/>
        <v xml:space="preserve"> </v>
      </c>
      <c r="L45" s="761">
        <f t="shared" si="11"/>
        <v>-24099192.57</v>
      </c>
      <c r="M45" s="781" t="str">
        <f t="shared" si="12"/>
        <v xml:space="preserve"> </v>
      </c>
      <c r="N45" s="781" t="str">
        <f t="shared" si="15"/>
        <v xml:space="preserve"> </v>
      </c>
    </row>
    <row r="46" spans="2:14">
      <c r="C46" s="1806">
        <v>2831001</v>
      </c>
      <c r="D46" s="794"/>
      <c r="E46" s="795">
        <v>7086</v>
      </c>
      <c r="F46" s="778"/>
      <c r="G46" s="777" t="s">
        <v>1703</v>
      </c>
      <c r="H46" s="2443">
        <v>-117531.3</v>
      </c>
      <c r="I46" s="780" t="s">
        <v>291</v>
      </c>
      <c r="J46" s="781">
        <f t="shared" si="14"/>
        <v>-117531.3</v>
      </c>
      <c r="K46" s="761" t="str">
        <f t="shared" si="10"/>
        <v xml:space="preserve"> </v>
      </c>
      <c r="L46" s="761" t="str">
        <f t="shared" si="11"/>
        <v xml:space="preserve"> </v>
      </c>
      <c r="M46" s="781" t="str">
        <f t="shared" si="12"/>
        <v xml:space="preserve"> </v>
      </c>
      <c r="N46" s="781" t="str">
        <f t="shared" si="15"/>
        <v xml:space="preserve"> </v>
      </c>
    </row>
    <row r="47" spans="2:14">
      <c r="C47" s="1806">
        <v>2831001</v>
      </c>
      <c r="D47" s="794" t="s">
        <v>337</v>
      </c>
      <c r="E47" s="795">
        <v>7103</v>
      </c>
      <c r="F47" s="778"/>
      <c r="G47" s="777" t="s">
        <v>1704</v>
      </c>
      <c r="H47" s="2443">
        <v>-8732.56</v>
      </c>
      <c r="I47" s="780" t="s">
        <v>291</v>
      </c>
      <c r="J47" s="781">
        <f t="shared" si="14"/>
        <v>-8732.56</v>
      </c>
      <c r="K47" s="761" t="str">
        <f t="shared" si="10"/>
        <v xml:space="preserve"> </v>
      </c>
      <c r="L47" s="761" t="str">
        <f t="shared" si="11"/>
        <v xml:space="preserve"> </v>
      </c>
      <c r="M47" s="781" t="str">
        <f t="shared" si="12"/>
        <v xml:space="preserve"> </v>
      </c>
      <c r="N47" s="781" t="str">
        <f t="shared" si="15"/>
        <v xml:space="preserve"> </v>
      </c>
    </row>
    <row r="48" spans="2:14">
      <c r="C48" s="1806">
        <v>2831001</v>
      </c>
      <c r="D48" s="794" t="s">
        <v>337</v>
      </c>
      <c r="E48" s="795">
        <v>7137</v>
      </c>
      <c r="F48" s="778"/>
      <c r="G48" s="777" t="s">
        <v>1705</v>
      </c>
      <c r="H48" s="2443">
        <v>-9795433.4100000001</v>
      </c>
      <c r="I48" s="780" t="s">
        <v>291</v>
      </c>
      <c r="J48" s="781">
        <f t="shared" si="14"/>
        <v>-9795433.4100000001</v>
      </c>
      <c r="K48" s="761" t="str">
        <f t="shared" si="10"/>
        <v xml:space="preserve"> </v>
      </c>
      <c r="L48" s="761" t="str">
        <f t="shared" si="11"/>
        <v xml:space="preserve"> </v>
      </c>
      <c r="M48" s="781" t="str">
        <f t="shared" si="12"/>
        <v xml:space="preserve"> </v>
      </c>
      <c r="N48" s="781" t="str">
        <f t="shared" si="15"/>
        <v xml:space="preserve"> </v>
      </c>
    </row>
    <row r="49" spans="2:14">
      <c r="C49" s="1806">
        <v>2831001</v>
      </c>
      <c r="D49" s="794" t="s">
        <v>337</v>
      </c>
      <c r="E49" s="795">
        <v>7138</v>
      </c>
      <c r="F49" s="778"/>
      <c r="G49" s="777" t="s">
        <v>1706</v>
      </c>
      <c r="H49" s="2443">
        <v>-18693.990000000002</v>
      </c>
      <c r="I49" s="780" t="s">
        <v>291</v>
      </c>
      <c r="J49" s="781">
        <f t="shared" si="14"/>
        <v>-18693.990000000002</v>
      </c>
      <c r="K49" s="761" t="str">
        <f t="shared" si="10"/>
        <v xml:space="preserve"> </v>
      </c>
      <c r="L49" s="761" t="str">
        <f t="shared" si="11"/>
        <v xml:space="preserve"> </v>
      </c>
      <c r="M49" s="781" t="str">
        <f t="shared" si="12"/>
        <v xml:space="preserve"> </v>
      </c>
      <c r="N49" s="781" t="str">
        <f t="shared" si="15"/>
        <v xml:space="preserve"> </v>
      </c>
    </row>
    <row r="50" spans="2:14">
      <c r="C50" s="1806">
        <v>2831001</v>
      </c>
      <c r="D50" s="794"/>
      <c r="E50" s="795">
        <v>7139</v>
      </c>
      <c r="F50" s="778"/>
      <c r="G50" s="777" t="s">
        <v>1707</v>
      </c>
      <c r="H50" s="2443">
        <v>-3337178.04</v>
      </c>
      <c r="I50" s="780" t="s">
        <v>291</v>
      </c>
      <c r="J50" s="781">
        <f t="shared" si="14"/>
        <v>-3337178.04</v>
      </c>
      <c r="K50" s="761" t="str">
        <f t="shared" si="10"/>
        <v xml:space="preserve"> </v>
      </c>
      <c r="L50" s="761" t="str">
        <f t="shared" si="11"/>
        <v xml:space="preserve"> </v>
      </c>
      <c r="M50" s="781" t="str">
        <f t="shared" si="12"/>
        <v xml:space="preserve"> </v>
      </c>
      <c r="N50" s="781" t="str">
        <f t="shared" si="15"/>
        <v xml:space="preserve"> </v>
      </c>
    </row>
    <row r="51" spans="2:14">
      <c r="C51" s="1806">
        <v>2831001</v>
      </c>
      <c r="D51" s="794" t="s">
        <v>337</v>
      </c>
      <c r="E51" s="795">
        <v>7141</v>
      </c>
      <c r="F51" s="778"/>
      <c r="G51" s="777" t="s">
        <v>1708</v>
      </c>
      <c r="H51" s="2443">
        <v>-632757.12</v>
      </c>
      <c r="I51" s="780" t="s">
        <v>291</v>
      </c>
      <c r="J51" s="781">
        <f t="shared" si="14"/>
        <v>-632757.12</v>
      </c>
      <c r="K51" s="761" t="str">
        <f t="shared" si="10"/>
        <v xml:space="preserve"> </v>
      </c>
      <c r="L51" s="761" t="str">
        <f t="shared" si="11"/>
        <v xml:space="preserve"> </v>
      </c>
      <c r="M51" s="781" t="str">
        <f t="shared" si="12"/>
        <v xml:space="preserve"> </v>
      </c>
      <c r="N51" s="781" t="str">
        <f t="shared" si="15"/>
        <v xml:space="preserve"> </v>
      </c>
    </row>
    <row r="52" spans="2:14">
      <c r="C52" s="1806">
        <v>2831001</v>
      </c>
      <c r="D52" s="794" t="s">
        <v>337</v>
      </c>
      <c r="E52" s="795">
        <v>7175</v>
      </c>
      <c r="F52" s="778"/>
      <c r="G52" s="777" t="s">
        <v>1709</v>
      </c>
      <c r="H52" s="2443">
        <v>-13967511.16</v>
      </c>
      <c r="I52" s="780" t="s">
        <v>291</v>
      </c>
      <c r="J52" s="781">
        <f t="shared" si="14"/>
        <v>-13967511.16</v>
      </c>
      <c r="K52" s="761" t="str">
        <f t="shared" si="10"/>
        <v xml:space="preserve"> </v>
      </c>
      <c r="L52" s="761" t="str">
        <f t="shared" si="11"/>
        <v xml:space="preserve"> </v>
      </c>
      <c r="M52" s="781" t="str">
        <f t="shared" si="12"/>
        <v xml:space="preserve"> </v>
      </c>
      <c r="N52" s="781" t="str">
        <f t="shared" si="15"/>
        <v xml:space="preserve"> </v>
      </c>
    </row>
    <row r="53" spans="2:14">
      <c r="C53" s="1806">
        <v>2831001</v>
      </c>
      <c r="D53" s="794" t="s">
        <v>337</v>
      </c>
      <c r="E53" s="795">
        <v>7176</v>
      </c>
      <c r="F53" s="778"/>
      <c r="G53" s="777" t="s">
        <v>1710</v>
      </c>
      <c r="H53" s="2443">
        <v>11007156.93</v>
      </c>
      <c r="I53" s="780" t="s">
        <v>291</v>
      </c>
      <c r="J53" s="781">
        <f t="shared" si="14"/>
        <v>11007156.93</v>
      </c>
      <c r="K53" s="761" t="str">
        <f t="shared" si="10"/>
        <v xml:space="preserve"> </v>
      </c>
      <c r="L53" s="761" t="str">
        <f t="shared" si="11"/>
        <v xml:space="preserve"> </v>
      </c>
      <c r="M53" s="781" t="str">
        <f t="shared" si="12"/>
        <v xml:space="preserve"> </v>
      </c>
      <c r="N53" s="781" t="str">
        <f t="shared" si="15"/>
        <v xml:space="preserve"> </v>
      </c>
    </row>
    <row r="54" spans="2:14">
      <c r="B54" s="286"/>
      <c r="C54" s="1806">
        <v>2831001</v>
      </c>
      <c r="D54" s="794" t="s">
        <v>337</v>
      </c>
      <c r="E54" s="795">
        <v>7378</v>
      </c>
      <c r="F54" s="778"/>
      <c r="G54" s="777" t="s">
        <v>1711</v>
      </c>
      <c r="H54" s="2443">
        <v>-7244646.1100000003</v>
      </c>
      <c r="I54" s="780" t="s">
        <v>291</v>
      </c>
      <c r="J54" s="781">
        <f t="shared" si="14"/>
        <v>-7244646.1100000003</v>
      </c>
      <c r="K54" s="761" t="str">
        <f t="shared" si="10"/>
        <v xml:space="preserve"> </v>
      </c>
      <c r="L54" s="761" t="str">
        <f t="shared" si="11"/>
        <v xml:space="preserve"> </v>
      </c>
      <c r="M54" s="781" t="str">
        <f t="shared" si="12"/>
        <v xml:space="preserve"> </v>
      </c>
      <c r="N54" s="781" t="str">
        <f t="shared" si="15"/>
        <v xml:space="preserve"> </v>
      </c>
    </row>
    <row r="55" spans="2:14">
      <c r="B55" s="286"/>
      <c r="C55" s="1806">
        <v>2831001</v>
      </c>
      <c r="D55" s="794" t="s">
        <v>337</v>
      </c>
      <c r="E55" s="795">
        <v>7379</v>
      </c>
      <c r="F55" s="778"/>
      <c r="G55" s="777" t="s">
        <v>1712</v>
      </c>
      <c r="H55" s="2443">
        <v>2509388.2400000002</v>
      </c>
      <c r="I55" s="780" t="s">
        <v>291</v>
      </c>
      <c r="J55" s="781">
        <f t="shared" si="14"/>
        <v>2509388.2400000002</v>
      </c>
      <c r="K55" s="761" t="str">
        <f t="shared" si="10"/>
        <v xml:space="preserve"> </v>
      </c>
      <c r="L55" s="761" t="str">
        <f t="shared" si="11"/>
        <v xml:space="preserve"> </v>
      </c>
      <c r="M55" s="781" t="str">
        <f t="shared" si="12"/>
        <v xml:space="preserve"> </v>
      </c>
      <c r="N55" s="781" t="str">
        <f t="shared" si="15"/>
        <v xml:space="preserve"> </v>
      </c>
    </row>
    <row r="56" spans="2:14">
      <c r="B56" s="286"/>
      <c r="C56" s="1806">
        <v>2831001</v>
      </c>
      <c r="D56" s="794"/>
      <c r="E56" s="795">
        <v>7389</v>
      </c>
      <c r="F56" s="778"/>
      <c r="G56" s="777" t="s">
        <v>1713</v>
      </c>
      <c r="H56" s="2443">
        <v>-27106.12</v>
      </c>
      <c r="I56" s="780" t="s">
        <v>291</v>
      </c>
      <c r="J56" s="781">
        <f t="shared" si="14"/>
        <v>-27106.12</v>
      </c>
      <c r="K56" s="761" t="str">
        <f t="shared" si="10"/>
        <v xml:space="preserve"> </v>
      </c>
      <c r="L56" s="761" t="str">
        <f t="shared" si="11"/>
        <v xml:space="preserve"> </v>
      </c>
      <c r="M56" s="781" t="str">
        <f t="shared" si="12"/>
        <v xml:space="preserve"> </v>
      </c>
      <c r="N56" s="781" t="str">
        <f t="shared" si="15"/>
        <v xml:space="preserve"> </v>
      </c>
    </row>
    <row r="57" spans="2:14">
      <c r="B57" s="286"/>
      <c r="C57" s="1806">
        <v>2831001</v>
      </c>
      <c r="D57" s="794"/>
      <c r="E57" s="795">
        <v>7394</v>
      </c>
      <c r="F57" s="778"/>
      <c r="G57" s="777" t="s">
        <v>1714</v>
      </c>
      <c r="H57" s="2443">
        <v>-13149.59</v>
      </c>
      <c r="I57" s="780" t="s">
        <v>291</v>
      </c>
      <c r="J57" s="781">
        <f t="shared" si="14"/>
        <v>-13149.59</v>
      </c>
      <c r="K57" s="761" t="str">
        <f t="shared" si="10"/>
        <v xml:space="preserve"> </v>
      </c>
      <c r="L57" s="761" t="str">
        <f t="shared" si="11"/>
        <v xml:space="preserve"> </v>
      </c>
      <c r="M57" s="781" t="str">
        <f t="shared" si="12"/>
        <v xml:space="preserve"> </v>
      </c>
      <c r="N57" s="781" t="str">
        <f t="shared" si="15"/>
        <v xml:space="preserve"> </v>
      </c>
    </row>
    <row r="58" spans="2:14">
      <c r="B58" s="286"/>
      <c r="C58" s="1806">
        <v>2831001</v>
      </c>
      <c r="D58" s="794"/>
      <c r="E58" s="795">
        <v>7401</v>
      </c>
      <c r="F58" s="778"/>
      <c r="G58" s="777" t="s">
        <v>1715</v>
      </c>
      <c r="H58" s="2443">
        <v>-12566371.369999999</v>
      </c>
      <c r="I58" s="780" t="s">
        <v>291</v>
      </c>
      <c r="J58" s="781">
        <f t="shared" si="14"/>
        <v>-12566371.369999999</v>
      </c>
      <c r="K58" s="761" t="str">
        <f t="shared" si="10"/>
        <v xml:space="preserve"> </v>
      </c>
      <c r="L58" s="761" t="str">
        <f t="shared" si="11"/>
        <v xml:space="preserve"> </v>
      </c>
      <c r="M58" s="781" t="str">
        <f t="shared" si="12"/>
        <v xml:space="preserve"> </v>
      </c>
      <c r="N58" s="781" t="str">
        <f t="shared" si="15"/>
        <v xml:space="preserve"> </v>
      </c>
    </row>
    <row r="59" spans="2:14">
      <c r="C59" s="1806">
        <v>2831001</v>
      </c>
      <c r="D59" s="794"/>
      <c r="E59" s="795">
        <v>7414</v>
      </c>
      <c r="F59" s="778"/>
      <c r="G59" s="777" t="s">
        <v>1716</v>
      </c>
      <c r="H59" s="2443">
        <v>-548616.64</v>
      </c>
      <c r="I59" s="780" t="s">
        <v>291</v>
      </c>
      <c r="J59" s="781">
        <f t="shared" si="14"/>
        <v>-548616.64</v>
      </c>
      <c r="K59" s="761" t="str">
        <f t="shared" si="10"/>
        <v xml:space="preserve"> </v>
      </c>
      <c r="L59" s="761" t="str">
        <f t="shared" si="11"/>
        <v xml:space="preserve"> </v>
      </c>
      <c r="M59" s="781" t="str">
        <f t="shared" si="12"/>
        <v xml:space="preserve"> </v>
      </c>
      <c r="N59" s="781" t="str">
        <f t="shared" si="15"/>
        <v xml:space="preserve"> </v>
      </c>
    </row>
    <row r="60" spans="2:14">
      <c r="B60" s="286"/>
      <c r="C60" s="1806">
        <v>2831001</v>
      </c>
      <c r="D60" s="794"/>
      <c r="E60" s="795">
        <v>7443</v>
      </c>
      <c r="F60" s="778"/>
      <c r="G60" s="777" t="s">
        <v>1717</v>
      </c>
      <c r="H60" s="2443">
        <v>233647.01</v>
      </c>
      <c r="I60" s="780" t="s">
        <v>291</v>
      </c>
      <c r="J60" s="781">
        <f t="shared" si="14"/>
        <v>233647.01</v>
      </c>
      <c r="K60" s="761" t="str">
        <f t="shared" si="10"/>
        <v xml:space="preserve"> </v>
      </c>
      <c r="L60" s="761" t="str">
        <f t="shared" si="11"/>
        <v xml:space="preserve"> </v>
      </c>
      <c r="M60" s="781" t="str">
        <f t="shared" si="12"/>
        <v xml:space="preserve"> </v>
      </c>
      <c r="N60" s="781" t="str">
        <f t="shared" si="15"/>
        <v xml:space="preserve"> </v>
      </c>
    </row>
    <row r="61" spans="2:14">
      <c r="B61" s="286"/>
      <c r="C61" s="1806">
        <v>2831001</v>
      </c>
      <c r="D61" s="794" t="s">
        <v>337</v>
      </c>
      <c r="E61" s="795">
        <v>7446</v>
      </c>
      <c r="F61" s="778"/>
      <c r="G61" s="777" t="s">
        <v>1718</v>
      </c>
      <c r="H61" s="2443">
        <v>-552809.06000000006</v>
      </c>
      <c r="I61" s="780" t="s">
        <v>291</v>
      </c>
      <c r="J61" s="781">
        <f t="shared" si="14"/>
        <v>-552809.06000000006</v>
      </c>
      <c r="K61" s="761" t="str">
        <f t="shared" si="10"/>
        <v xml:space="preserve"> </v>
      </c>
      <c r="L61" s="761" t="str">
        <f t="shared" si="11"/>
        <v xml:space="preserve"> </v>
      </c>
      <c r="M61" s="781" t="str">
        <f t="shared" si="12"/>
        <v xml:space="preserve"> </v>
      </c>
      <c r="N61" s="781" t="str">
        <f t="shared" si="15"/>
        <v xml:space="preserve"> </v>
      </c>
    </row>
    <row r="62" spans="2:14">
      <c r="C62" s="1806">
        <v>2831001</v>
      </c>
      <c r="D62" s="794" t="s">
        <v>337</v>
      </c>
      <c r="E62" s="795">
        <v>7488</v>
      </c>
      <c r="F62" s="778"/>
      <c r="G62" s="777" t="s">
        <v>1719</v>
      </c>
      <c r="H62" s="2443">
        <v>-5178958.55</v>
      </c>
      <c r="I62" s="780" t="s">
        <v>291</v>
      </c>
      <c r="J62" s="781">
        <f t="shared" si="14"/>
        <v>-5178958.55</v>
      </c>
      <c r="K62" s="761" t="str">
        <f t="shared" si="10"/>
        <v xml:space="preserve"> </v>
      </c>
      <c r="L62" s="761" t="str">
        <f t="shared" si="11"/>
        <v xml:space="preserve"> </v>
      </c>
      <c r="M62" s="781" t="str">
        <f t="shared" si="12"/>
        <v xml:space="preserve"> </v>
      </c>
      <c r="N62" s="781" t="str">
        <f t="shared" si="15"/>
        <v xml:space="preserve"> </v>
      </c>
    </row>
    <row r="63" spans="2:14">
      <c r="C63" s="1806">
        <v>2831001</v>
      </c>
      <c r="D63" s="794" t="s">
        <v>337</v>
      </c>
      <c r="E63" s="795">
        <v>7489</v>
      </c>
      <c r="F63" s="778"/>
      <c r="G63" s="777" t="s">
        <v>1720</v>
      </c>
      <c r="H63" s="2443">
        <v>5178958.55</v>
      </c>
      <c r="I63" s="780" t="s">
        <v>291</v>
      </c>
      <c r="J63" s="781">
        <f t="shared" si="14"/>
        <v>5178958.55</v>
      </c>
      <c r="K63" s="761" t="str">
        <f t="shared" si="10"/>
        <v xml:space="preserve"> </v>
      </c>
      <c r="L63" s="761" t="str">
        <f t="shared" si="11"/>
        <v xml:space="preserve"> </v>
      </c>
      <c r="M63" s="781" t="str">
        <f t="shared" si="12"/>
        <v xml:space="preserve"> </v>
      </c>
      <c r="N63" s="781" t="str">
        <f t="shared" si="15"/>
        <v xml:space="preserve"> </v>
      </c>
    </row>
    <row r="64" spans="2:14">
      <c r="C64" s="1806">
        <v>2831001</v>
      </c>
      <c r="D64" s="794"/>
      <c r="E64" s="795">
        <v>7491</v>
      </c>
      <c r="F64" s="778"/>
      <c r="G64" s="777" t="s">
        <v>1721</v>
      </c>
      <c r="H64" s="2443">
        <v>-6309795.4699999997</v>
      </c>
      <c r="I64" s="780" t="s">
        <v>291</v>
      </c>
      <c r="J64" s="781">
        <f t="shared" si="14"/>
        <v>-6309795.4699999997</v>
      </c>
      <c r="K64" s="761" t="str">
        <f t="shared" si="10"/>
        <v xml:space="preserve"> </v>
      </c>
      <c r="L64" s="761" t="str">
        <f t="shared" si="11"/>
        <v xml:space="preserve"> </v>
      </c>
      <c r="M64" s="781" t="str">
        <f t="shared" si="12"/>
        <v xml:space="preserve"> </v>
      </c>
      <c r="N64" s="781" t="str">
        <f t="shared" si="15"/>
        <v xml:space="preserve"> </v>
      </c>
    </row>
    <row r="65" spans="3:16">
      <c r="C65" s="1806">
        <v>2831001</v>
      </c>
      <c r="D65" s="794" t="s">
        <v>337</v>
      </c>
      <c r="E65" s="795">
        <v>7559</v>
      </c>
      <c r="F65" s="778"/>
      <c r="G65" s="777" t="s">
        <v>1722</v>
      </c>
      <c r="H65" s="2443">
        <v>-84392.39</v>
      </c>
      <c r="I65" s="780" t="s">
        <v>291</v>
      </c>
      <c r="J65" s="781">
        <f t="shared" si="14"/>
        <v>-84392.39</v>
      </c>
      <c r="K65" s="761" t="str">
        <f t="shared" si="10"/>
        <v xml:space="preserve"> </v>
      </c>
      <c r="L65" s="761" t="str">
        <f t="shared" si="11"/>
        <v xml:space="preserve"> </v>
      </c>
      <c r="M65" s="781" t="str">
        <f t="shared" si="12"/>
        <v xml:space="preserve"> </v>
      </c>
      <c r="N65" s="781" t="str">
        <f t="shared" si="15"/>
        <v xml:space="preserve"> </v>
      </c>
    </row>
    <row r="66" spans="3:16">
      <c r="C66" s="1806">
        <v>2831001</v>
      </c>
      <c r="D66"/>
      <c r="E66" s="795">
        <v>7571</v>
      </c>
      <c r="F66" s="778"/>
      <c r="G66" s="777" t="s">
        <v>1723</v>
      </c>
      <c r="H66" s="2443">
        <v>-1004807</v>
      </c>
      <c r="I66" s="780" t="s">
        <v>158</v>
      </c>
      <c r="J66" s="781" t="str">
        <f t="shared" si="14"/>
        <v xml:space="preserve"> </v>
      </c>
      <c r="K66" s="761" t="str">
        <f t="shared" si="10"/>
        <v xml:space="preserve"> </v>
      </c>
      <c r="L66" s="761">
        <f t="shared" si="11"/>
        <v>-1004807</v>
      </c>
      <c r="M66" s="781" t="str">
        <f t="shared" si="12"/>
        <v xml:space="preserve"> </v>
      </c>
      <c r="N66" s="781" t="str">
        <f t="shared" si="15"/>
        <v xml:space="preserve"> </v>
      </c>
    </row>
    <row r="67" spans="3:16">
      <c r="C67" s="1806">
        <v>2831001</v>
      </c>
      <c r="D67"/>
      <c r="E67" s="795">
        <v>7575</v>
      </c>
      <c r="F67" s="778"/>
      <c r="G67" s="777" t="s">
        <v>1724</v>
      </c>
      <c r="H67" s="2443">
        <v>-9878751.2200000007</v>
      </c>
      <c r="I67" s="780" t="s">
        <v>300</v>
      </c>
      <c r="J67" s="781" t="str">
        <f t="shared" si="14"/>
        <v xml:space="preserve"> </v>
      </c>
      <c r="K67" s="761" t="str">
        <f t="shared" si="10"/>
        <v xml:space="preserve"> </v>
      </c>
      <c r="L67" s="761" t="str">
        <f t="shared" si="11"/>
        <v xml:space="preserve"> </v>
      </c>
      <c r="M67" s="781" t="str">
        <f t="shared" si="12"/>
        <v xml:space="preserve"> </v>
      </c>
      <c r="N67" s="781">
        <f t="shared" si="15"/>
        <v>-9878751.2200000007</v>
      </c>
    </row>
    <row r="68" spans="3:16">
      <c r="C68" s="1806">
        <v>2831001</v>
      </c>
      <c r="D68"/>
      <c r="E68" s="795">
        <v>7583</v>
      </c>
      <c r="F68" s="778"/>
      <c r="G68" s="777" t="s">
        <v>1725</v>
      </c>
      <c r="H68" s="2443">
        <v>-102881.4</v>
      </c>
      <c r="I68" s="780" t="s">
        <v>291</v>
      </c>
      <c r="J68" s="781">
        <f t="shared" si="14"/>
        <v>-102881.4</v>
      </c>
      <c r="K68" s="761" t="str">
        <f t="shared" si="10"/>
        <v xml:space="preserve"> </v>
      </c>
      <c r="L68" s="761" t="str">
        <f t="shared" si="11"/>
        <v xml:space="preserve"> </v>
      </c>
      <c r="M68" s="781" t="str">
        <f t="shared" si="12"/>
        <v xml:space="preserve"> </v>
      </c>
      <c r="N68" s="781" t="str">
        <f t="shared" si="15"/>
        <v xml:space="preserve"> </v>
      </c>
    </row>
    <row r="69" spans="3:16">
      <c r="C69" s="1806">
        <v>2831001</v>
      </c>
      <c r="D69"/>
      <c r="E69" s="795">
        <v>8023</v>
      </c>
      <c r="F69" s="778"/>
      <c r="G69" s="777" t="s">
        <v>1726</v>
      </c>
      <c r="H69" s="2443">
        <v>-867583.92</v>
      </c>
      <c r="I69" s="780" t="s">
        <v>291</v>
      </c>
      <c r="J69" s="781">
        <f t="shared" si="14"/>
        <v>-867583.92</v>
      </c>
      <c r="K69" s="761" t="str">
        <f t="shared" si="10"/>
        <v xml:space="preserve"> </v>
      </c>
      <c r="L69" s="761" t="str">
        <f t="shared" si="11"/>
        <v xml:space="preserve"> </v>
      </c>
      <c r="M69" s="781" t="str">
        <f t="shared" si="12"/>
        <v xml:space="preserve"> </v>
      </c>
      <c r="N69" s="781" t="str">
        <f t="shared" si="15"/>
        <v xml:space="preserve"> </v>
      </c>
    </row>
    <row r="70" spans="3:16">
      <c r="C70" s="1806">
        <v>2831001</v>
      </c>
      <c r="D70"/>
      <c r="E70" s="795">
        <v>8053</v>
      </c>
      <c r="F70" s="778"/>
      <c r="G70" s="777" t="s">
        <v>1727</v>
      </c>
      <c r="H70" s="2443">
        <v>4015490.85</v>
      </c>
      <c r="I70" s="780" t="s">
        <v>300</v>
      </c>
      <c r="J70" s="781" t="str">
        <f t="shared" si="14"/>
        <v xml:space="preserve"> </v>
      </c>
      <c r="K70" s="761" t="str">
        <f t="shared" si="10"/>
        <v xml:space="preserve"> </v>
      </c>
      <c r="L70" s="761" t="str">
        <f t="shared" si="11"/>
        <v xml:space="preserve"> </v>
      </c>
      <c r="M70" s="781" t="str">
        <f t="shared" si="12"/>
        <v xml:space="preserve"> </v>
      </c>
      <c r="N70" s="781">
        <f t="shared" si="15"/>
        <v>4015490.85</v>
      </c>
    </row>
    <row r="71" spans="3:16" s="797" customFormat="1">
      <c r="C71" s="795"/>
      <c r="D71" s="796"/>
      <c r="E71" s="785"/>
      <c r="G71" s="777"/>
      <c r="H71" s="2207"/>
      <c r="I71" s="780"/>
      <c r="J71" s="781"/>
      <c r="K71" s="761"/>
      <c r="L71" s="761"/>
      <c r="M71" s="781"/>
      <c r="N71" s="781"/>
      <c r="P71" s="1807"/>
    </row>
    <row r="72" spans="3:16">
      <c r="C72" s="778"/>
      <c r="D72"/>
      <c r="E72" s="1819"/>
      <c r="F72"/>
      <c r="G72" s="778"/>
      <c r="H72" s="2209"/>
      <c r="I72" s="800"/>
      <c r="J72" s="761"/>
      <c r="K72" s="761"/>
      <c r="L72" s="761"/>
      <c r="M72" s="781"/>
      <c r="N72" s="781"/>
    </row>
    <row r="73" spans="3:16">
      <c r="C73" s="1806">
        <v>2831002</v>
      </c>
      <c r="D73"/>
      <c r="E73" s="2213">
        <v>2003</v>
      </c>
      <c r="F73"/>
      <c r="G73" s="777" t="s">
        <v>1693</v>
      </c>
      <c r="H73" s="2443">
        <v>-49277235</v>
      </c>
      <c r="I73" s="780" t="s">
        <v>158</v>
      </c>
      <c r="J73" s="761"/>
      <c r="K73" s="761"/>
      <c r="L73" s="761">
        <f>H73</f>
        <v>-49277235</v>
      </c>
      <c r="M73" s="781"/>
      <c r="N73" s="781"/>
    </row>
    <row r="74" spans="3:16">
      <c r="C74" s="1806">
        <v>2831002</v>
      </c>
      <c r="D74"/>
      <c r="E74" s="2213">
        <v>2008</v>
      </c>
      <c r="F74"/>
      <c r="G74" s="777" t="s">
        <v>1695</v>
      </c>
      <c r="H74" s="2443">
        <v>1875963</v>
      </c>
      <c r="I74" s="780" t="s">
        <v>291</v>
      </c>
      <c r="J74" s="761">
        <f>H74</f>
        <v>1875963</v>
      </c>
      <c r="K74" s="761"/>
      <c r="L74" s="761"/>
      <c r="M74" s="781"/>
      <c r="N74" s="781"/>
    </row>
    <row r="75" spans="3:16">
      <c r="C75" s="1806">
        <v>2831002</v>
      </c>
      <c r="D75"/>
      <c r="E75" s="2213">
        <v>6002</v>
      </c>
      <c r="F75"/>
      <c r="G75" s="777" t="s">
        <v>1676</v>
      </c>
      <c r="H75" s="2443">
        <v>-1701276.64</v>
      </c>
      <c r="I75" s="780" t="s">
        <v>158</v>
      </c>
      <c r="J75" s="761"/>
      <c r="K75" s="761"/>
      <c r="L75" s="761">
        <f t="shared" ref="L75:L80" si="16">H75</f>
        <v>-1701276.64</v>
      </c>
      <c r="M75" s="781"/>
      <c r="N75" s="781"/>
    </row>
    <row r="76" spans="3:16">
      <c r="C76" s="1806">
        <v>2831002</v>
      </c>
      <c r="D76"/>
      <c r="E76" s="2213">
        <v>6004</v>
      </c>
      <c r="F76"/>
      <c r="G76" s="777" t="s">
        <v>1677</v>
      </c>
      <c r="H76" s="2443">
        <v>-1298899.54</v>
      </c>
      <c r="I76" s="780" t="s">
        <v>291</v>
      </c>
      <c r="J76" s="761">
        <f>H76</f>
        <v>-1298899.54</v>
      </c>
      <c r="K76" s="761"/>
      <c r="L76" s="761"/>
      <c r="M76" s="781"/>
      <c r="N76" s="781"/>
    </row>
    <row r="77" spans="3:16">
      <c r="C77" s="1806">
        <v>2831002</v>
      </c>
      <c r="D77"/>
      <c r="E77" s="2213">
        <v>6006</v>
      </c>
      <c r="F77"/>
      <c r="G77" s="777" t="s">
        <v>1678</v>
      </c>
      <c r="H77" s="2443">
        <v>104969.8</v>
      </c>
      <c r="I77" s="780" t="s">
        <v>158</v>
      </c>
      <c r="J77" s="761"/>
      <c r="K77" s="761"/>
      <c r="L77" s="761">
        <f t="shared" si="16"/>
        <v>104969.8</v>
      </c>
      <c r="M77" s="781"/>
      <c r="N77" s="781"/>
    </row>
    <row r="78" spans="3:16">
      <c r="C78" s="1806">
        <v>2831002</v>
      </c>
      <c r="D78"/>
      <c r="E78" s="2213">
        <v>6007</v>
      </c>
      <c r="F78"/>
      <c r="G78" s="777" t="s">
        <v>1679</v>
      </c>
      <c r="H78" s="2443">
        <v>3060149.53</v>
      </c>
      <c r="I78" s="780" t="s">
        <v>291</v>
      </c>
      <c r="J78" s="761">
        <f>H78</f>
        <v>3060149.53</v>
      </c>
      <c r="K78" s="761"/>
      <c r="L78" s="761"/>
      <c r="M78" s="781"/>
      <c r="N78" s="781"/>
    </row>
    <row r="79" spans="3:16">
      <c r="C79" s="1806">
        <v>2831002</v>
      </c>
      <c r="D79"/>
      <c r="E79" s="2213">
        <v>6009</v>
      </c>
      <c r="F79"/>
      <c r="G79" s="777" t="s">
        <v>1680</v>
      </c>
      <c r="H79" s="2443">
        <v>-19042762.98</v>
      </c>
      <c r="I79" s="780" t="s">
        <v>158</v>
      </c>
      <c r="J79" s="761"/>
      <c r="K79" s="761"/>
      <c r="L79" s="761">
        <f t="shared" si="16"/>
        <v>-19042762.98</v>
      </c>
      <c r="M79" s="781"/>
      <c r="N79" s="781"/>
    </row>
    <row r="80" spans="3:16">
      <c r="C80" s="1806">
        <v>2831002</v>
      </c>
      <c r="D80"/>
      <c r="E80" s="2213">
        <v>6011</v>
      </c>
      <c r="F80"/>
      <c r="G80" s="777" t="s">
        <v>1681</v>
      </c>
      <c r="H80" s="2443">
        <v>3060327.38</v>
      </c>
      <c r="I80" s="780" t="s">
        <v>158</v>
      </c>
      <c r="J80" s="761"/>
      <c r="K80" s="761"/>
      <c r="L80" s="761">
        <f t="shared" si="16"/>
        <v>3060327.38</v>
      </c>
      <c r="M80" s="781"/>
      <c r="N80" s="781"/>
    </row>
    <row r="81" spans="3:14">
      <c r="C81" s="1806">
        <v>2831002</v>
      </c>
      <c r="D81"/>
      <c r="E81" s="2213">
        <v>6018</v>
      </c>
      <c r="F81"/>
      <c r="G81" s="777" t="s">
        <v>1682</v>
      </c>
      <c r="H81" s="2443">
        <v>-99248301.620000005</v>
      </c>
      <c r="I81" s="1806" t="s">
        <v>158</v>
      </c>
      <c r="J81" s="761"/>
      <c r="K81" s="761"/>
      <c r="L81" s="761">
        <f>H81</f>
        <v>-99248301.620000005</v>
      </c>
      <c r="M81" s="781"/>
      <c r="N81" s="781"/>
    </row>
    <row r="82" spans="3:14">
      <c r="C82" s="1806">
        <v>2831002</v>
      </c>
      <c r="D82"/>
      <c r="E82" s="2213">
        <v>6020</v>
      </c>
      <c r="F82"/>
      <c r="G82" s="777" t="s">
        <v>1728</v>
      </c>
      <c r="H82" s="2443">
        <v>-2807860.94</v>
      </c>
      <c r="I82" s="1806" t="s">
        <v>291</v>
      </c>
      <c r="J82" s="761">
        <f>H82</f>
        <v>-2807860.94</v>
      </c>
      <c r="K82" s="761"/>
      <c r="L82" s="761"/>
      <c r="M82" s="781"/>
      <c r="N82" s="781"/>
    </row>
    <row r="83" spans="3:14">
      <c r="C83" s="1806">
        <v>2831002</v>
      </c>
      <c r="D83"/>
      <c r="E83" s="2213">
        <v>6021</v>
      </c>
      <c r="F83"/>
      <c r="G83" s="777" t="s">
        <v>1684</v>
      </c>
      <c r="H83" s="2443">
        <v>-423681.51</v>
      </c>
      <c r="I83" s="1806" t="s">
        <v>291</v>
      </c>
      <c r="J83" s="761">
        <f>H83</f>
        <v>-423681.51</v>
      </c>
      <c r="K83" s="761"/>
      <c r="L83" s="761"/>
      <c r="M83" s="781"/>
      <c r="N83" s="781"/>
    </row>
    <row r="84" spans="3:14">
      <c r="C84" s="1806">
        <v>2831002</v>
      </c>
      <c r="D84"/>
      <c r="E84" s="2213">
        <v>6022</v>
      </c>
      <c r="F84"/>
      <c r="G84" s="777" t="s">
        <v>1685</v>
      </c>
      <c r="H84" s="2443">
        <v>-3718710.76</v>
      </c>
      <c r="I84" s="1806" t="s">
        <v>158</v>
      </c>
      <c r="J84" s="761"/>
      <c r="K84" s="761"/>
      <c r="L84" s="761">
        <f>H84</f>
        <v>-3718710.76</v>
      </c>
      <c r="M84" s="781"/>
      <c r="N84" s="781"/>
    </row>
    <row r="85" spans="3:14">
      <c r="C85" s="1806">
        <v>2831002</v>
      </c>
      <c r="D85"/>
      <c r="E85" s="2213">
        <v>6024</v>
      </c>
      <c r="F85"/>
      <c r="G85" s="777" t="s">
        <v>1686</v>
      </c>
      <c r="H85" s="2443">
        <v>-36447365.859999999</v>
      </c>
      <c r="I85" s="1806" t="s">
        <v>158</v>
      </c>
      <c r="J85" s="761"/>
      <c r="K85" s="761"/>
      <c r="L85" s="761">
        <f>H85</f>
        <v>-36447365.859999999</v>
      </c>
      <c r="M85" s="781"/>
      <c r="N85" s="781"/>
    </row>
    <row r="86" spans="3:14">
      <c r="C86" s="1806">
        <v>2831002</v>
      </c>
      <c r="D86"/>
      <c r="E86" s="2213">
        <v>6026</v>
      </c>
      <c r="F86"/>
      <c r="G86" s="777" t="s">
        <v>1687</v>
      </c>
      <c r="H86" s="2443">
        <v>4096.01</v>
      </c>
      <c r="I86" s="1806" t="s">
        <v>1864</v>
      </c>
      <c r="J86" s="761"/>
      <c r="K86" s="761"/>
      <c r="L86" s="761"/>
      <c r="M86" s="781"/>
      <c r="N86" s="781">
        <f>H86</f>
        <v>4096.01</v>
      </c>
    </row>
    <row r="87" spans="3:14">
      <c r="C87" s="1806">
        <v>2831002</v>
      </c>
      <c r="D87"/>
      <c r="E87" s="2213">
        <v>6503</v>
      </c>
      <c r="F87"/>
      <c r="G87" s="777" t="s">
        <v>1688</v>
      </c>
      <c r="H87" s="2443">
        <v>-45505.79</v>
      </c>
      <c r="I87" s="1806" t="s">
        <v>291</v>
      </c>
      <c r="J87" s="761">
        <f>H87</f>
        <v>-45505.79</v>
      </c>
      <c r="K87" s="761"/>
      <c r="L87" s="761"/>
      <c r="M87" s="781"/>
      <c r="N87" s="781"/>
    </row>
    <row r="88" spans="3:14">
      <c r="C88" s="1806">
        <v>2831002</v>
      </c>
      <c r="D88"/>
      <c r="E88" s="2213">
        <v>6523</v>
      </c>
      <c r="F88"/>
      <c r="G88" s="777" t="s">
        <v>1689</v>
      </c>
      <c r="H88" s="2443">
        <v>1499789.45</v>
      </c>
      <c r="I88" s="1806" t="s">
        <v>300</v>
      </c>
      <c r="J88" s="761"/>
      <c r="K88" s="761"/>
      <c r="L88" s="761"/>
      <c r="M88" s="781"/>
      <c r="N88" s="781">
        <f>H88</f>
        <v>1499789.45</v>
      </c>
    </row>
    <row r="89" spans="3:14">
      <c r="C89" s="1806">
        <v>2831002</v>
      </c>
      <c r="D89"/>
      <c r="E89" s="2213">
        <v>7019</v>
      </c>
      <c r="F89"/>
      <c r="G89" s="777" t="s">
        <v>1729</v>
      </c>
      <c r="H89" s="2443">
        <v>-4713051.32</v>
      </c>
      <c r="I89" s="1806" t="s">
        <v>291</v>
      </c>
      <c r="J89" s="761">
        <f>H89</f>
        <v>-4713051.32</v>
      </c>
      <c r="K89" s="761"/>
      <c r="L89" s="761"/>
      <c r="M89" s="781"/>
      <c r="N89" s="781"/>
    </row>
    <row r="90" spans="3:14">
      <c r="C90" s="1806">
        <v>2831002</v>
      </c>
      <c r="D90"/>
      <c r="E90" s="2213">
        <v>7021</v>
      </c>
      <c r="F90"/>
      <c r="G90" s="777" t="s">
        <v>1730</v>
      </c>
      <c r="H90" s="2443">
        <v>716884.97</v>
      </c>
      <c r="I90" s="1806" t="s">
        <v>291</v>
      </c>
      <c r="J90" s="761">
        <f>H90</f>
        <v>716884.97</v>
      </c>
      <c r="K90" s="761"/>
      <c r="L90" s="761"/>
      <c r="M90" s="781"/>
      <c r="N90" s="781"/>
    </row>
    <row r="91" spans="3:14">
      <c r="C91" s="1806">
        <v>2831002</v>
      </c>
      <c r="D91"/>
      <c r="E91" s="2213">
        <v>7026</v>
      </c>
      <c r="F91"/>
      <c r="G91" s="777" t="s">
        <v>1699</v>
      </c>
      <c r="H91" s="2443">
        <v>1188928.1200000001</v>
      </c>
      <c r="I91" s="1806" t="s">
        <v>291</v>
      </c>
      <c r="J91" s="761">
        <f>H91</f>
        <v>1188928.1200000001</v>
      </c>
      <c r="K91" s="761"/>
      <c r="L91" s="761"/>
      <c r="M91" s="781"/>
      <c r="N91" s="781"/>
    </row>
    <row r="92" spans="3:14">
      <c r="C92" s="1806">
        <v>2831002</v>
      </c>
      <c r="D92"/>
      <c r="E92" s="2213">
        <v>7027</v>
      </c>
      <c r="F92"/>
      <c r="G92" s="777" t="s">
        <v>1731</v>
      </c>
      <c r="H92" s="2443">
        <v>-58066.66</v>
      </c>
      <c r="I92" s="1806" t="s">
        <v>1864</v>
      </c>
      <c r="J92" s="761"/>
      <c r="K92" s="761"/>
      <c r="L92" s="761"/>
      <c r="M92" s="781"/>
      <c r="N92" s="781">
        <f>H92</f>
        <v>-58066.66</v>
      </c>
    </row>
    <row r="93" spans="3:14">
      <c r="C93" s="1806">
        <v>2831002</v>
      </c>
      <c r="D93"/>
      <c r="E93" s="2213">
        <v>7029</v>
      </c>
      <c r="F93"/>
      <c r="G93" s="777" t="s">
        <v>1732</v>
      </c>
      <c r="H93" s="2443">
        <v>18263.080000000002</v>
      </c>
      <c r="I93" s="1806" t="s">
        <v>300</v>
      </c>
      <c r="J93" s="761"/>
      <c r="K93" s="761"/>
      <c r="L93" s="761"/>
      <c r="M93" s="781"/>
      <c r="N93" s="781">
        <f>H93</f>
        <v>18263.080000000002</v>
      </c>
    </row>
    <row r="94" spans="3:14">
      <c r="C94" s="1806">
        <v>2831002</v>
      </c>
      <c r="D94"/>
      <c r="E94" s="2213">
        <v>7032</v>
      </c>
      <c r="F94"/>
      <c r="G94" s="777" t="s">
        <v>1700</v>
      </c>
      <c r="H94" s="2443">
        <v>-2581749.89</v>
      </c>
      <c r="I94" s="1806" t="s">
        <v>1864</v>
      </c>
      <c r="J94" s="761"/>
      <c r="K94" s="761"/>
      <c r="L94" s="761"/>
      <c r="M94" s="781"/>
      <c r="N94" s="781">
        <f>H94</f>
        <v>-2581749.89</v>
      </c>
    </row>
    <row r="95" spans="3:14">
      <c r="C95" s="1806">
        <v>2831002</v>
      </c>
      <c r="D95"/>
      <c r="E95" s="2213">
        <v>7033</v>
      </c>
      <c r="F95"/>
      <c r="G95" s="777" t="s">
        <v>1701</v>
      </c>
      <c r="H95" s="2443">
        <v>1859079.97</v>
      </c>
      <c r="I95" s="1806" t="s">
        <v>291</v>
      </c>
      <c r="J95" s="761">
        <f>H95</f>
        <v>1859079.97</v>
      </c>
      <c r="K95" s="761"/>
      <c r="L95" s="761"/>
      <c r="M95" s="781"/>
      <c r="N95" s="781"/>
    </row>
    <row r="96" spans="3:14">
      <c r="C96" s="1806">
        <v>2831002</v>
      </c>
      <c r="D96"/>
      <c r="E96" s="2213">
        <v>7034</v>
      </c>
      <c r="F96"/>
      <c r="G96" s="777" t="s">
        <v>1733</v>
      </c>
      <c r="H96" s="2443">
        <v>50983.71</v>
      </c>
      <c r="I96" s="1806" t="s">
        <v>158</v>
      </c>
      <c r="J96" s="761"/>
      <c r="K96" s="761"/>
      <c r="L96" s="761">
        <f t="shared" ref="L96" si="17">H96</f>
        <v>50983.71</v>
      </c>
      <c r="M96" s="781"/>
      <c r="N96" s="781"/>
    </row>
    <row r="97" spans="3:14">
      <c r="C97" s="1806">
        <v>2831002</v>
      </c>
      <c r="D97"/>
      <c r="E97" s="2213">
        <v>7035</v>
      </c>
      <c r="F97"/>
      <c r="G97" s="777" t="s">
        <v>1734</v>
      </c>
      <c r="H97" s="2443">
        <v>3547.94</v>
      </c>
      <c r="I97" s="1806" t="s">
        <v>291</v>
      </c>
      <c r="J97" s="761">
        <f>H97</f>
        <v>3547.94</v>
      </c>
      <c r="K97" s="761"/>
      <c r="L97" s="761"/>
      <c r="M97" s="781"/>
      <c r="N97" s="781"/>
    </row>
    <row r="98" spans="3:14">
      <c r="C98" s="1806">
        <v>2831002</v>
      </c>
      <c r="D98"/>
      <c r="E98" s="2213">
        <v>7036</v>
      </c>
      <c r="F98"/>
      <c r="G98" s="777" t="s">
        <v>1735</v>
      </c>
      <c r="H98" s="2443">
        <v>3650.31</v>
      </c>
      <c r="I98" s="1806" t="s">
        <v>291</v>
      </c>
      <c r="J98" s="761">
        <f>H98</f>
        <v>3650.31</v>
      </c>
      <c r="K98" s="761"/>
      <c r="L98" s="761"/>
      <c r="M98" s="781"/>
      <c r="N98" s="781"/>
    </row>
    <row r="99" spans="3:14">
      <c r="C99" s="1806">
        <v>2831002</v>
      </c>
      <c r="D99"/>
      <c r="E99" s="2213">
        <v>7039</v>
      </c>
      <c r="F99"/>
      <c r="G99" s="777" t="s">
        <v>1736</v>
      </c>
      <c r="H99" s="2443">
        <v>71630.460000000006</v>
      </c>
      <c r="I99" s="1806" t="s">
        <v>291</v>
      </c>
      <c r="J99" s="761">
        <f>H99</f>
        <v>71630.460000000006</v>
      </c>
      <c r="K99" s="761"/>
      <c r="L99" s="761"/>
      <c r="M99" s="781"/>
      <c r="N99" s="781"/>
    </row>
    <row r="100" spans="3:14">
      <c r="C100" s="1806">
        <v>2831002</v>
      </c>
      <c r="D100"/>
      <c r="E100" s="2213">
        <v>7040</v>
      </c>
      <c r="F100"/>
      <c r="G100" s="777" t="s">
        <v>1737</v>
      </c>
      <c r="H100" s="2443">
        <v>2370.1799999999998</v>
      </c>
      <c r="I100" s="1806" t="s">
        <v>291</v>
      </c>
      <c r="J100" s="761">
        <f>H100</f>
        <v>2370.1799999999998</v>
      </c>
      <c r="K100" s="761"/>
      <c r="L100" s="761"/>
      <c r="M100" s="781"/>
      <c r="N100" s="781"/>
    </row>
    <row r="101" spans="3:14">
      <c r="C101" s="1806">
        <v>2831002</v>
      </c>
      <c r="D101"/>
      <c r="E101" s="2213">
        <v>7048</v>
      </c>
      <c r="F101"/>
      <c r="G101" s="777" t="s">
        <v>1738</v>
      </c>
      <c r="H101" s="2443">
        <v>168630.76</v>
      </c>
      <c r="I101" s="1806" t="s">
        <v>291</v>
      </c>
      <c r="J101" s="761">
        <f>H101</f>
        <v>168630.76</v>
      </c>
      <c r="K101" s="761"/>
      <c r="L101" s="761"/>
      <c r="M101" s="781"/>
      <c r="N101" s="781"/>
    </row>
    <row r="102" spans="3:14">
      <c r="C102" s="1806">
        <v>2831002</v>
      </c>
      <c r="D102"/>
      <c r="E102" s="2213">
        <v>7052</v>
      </c>
      <c r="F102"/>
      <c r="G102" s="777" t="s">
        <v>1739</v>
      </c>
      <c r="H102" s="2443">
        <v>354400.83</v>
      </c>
      <c r="I102" s="1806" t="s">
        <v>291</v>
      </c>
      <c r="J102" s="761">
        <f t="shared" ref="J102:J106" si="18">H102</f>
        <v>354400.83</v>
      </c>
      <c r="K102" s="761"/>
      <c r="L102" s="761"/>
      <c r="M102" s="781"/>
      <c r="N102" s="781"/>
    </row>
    <row r="103" spans="3:14">
      <c r="C103" s="1806">
        <v>2831002</v>
      </c>
      <c r="D103"/>
      <c r="E103" s="2213">
        <v>7053</v>
      </c>
      <c r="F103"/>
      <c r="G103" s="777" t="s">
        <v>1740</v>
      </c>
      <c r="H103" s="2443">
        <v>5978.4</v>
      </c>
      <c r="I103" s="1806" t="s">
        <v>291</v>
      </c>
      <c r="J103" s="761">
        <f t="shared" si="18"/>
        <v>5978.4</v>
      </c>
      <c r="K103" s="761"/>
      <c r="L103" s="761"/>
      <c r="M103" s="781"/>
      <c r="N103" s="781"/>
    </row>
    <row r="104" spans="3:14">
      <c r="C104" s="1806">
        <v>2831002</v>
      </c>
      <c r="D104"/>
      <c r="E104" s="2213">
        <v>7054</v>
      </c>
      <c r="F104"/>
      <c r="G104" s="777" t="s">
        <v>1741</v>
      </c>
      <c r="H104" s="2443">
        <v>-53755.78</v>
      </c>
      <c r="I104" s="1806" t="s">
        <v>291</v>
      </c>
      <c r="J104" s="761">
        <f t="shared" si="18"/>
        <v>-53755.78</v>
      </c>
      <c r="K104" s="761"/>
      <c r="L104" s="761"/>
      <c r="M104" s="781"/>
      <c r="N104" s="781"/>
    </row>
    <row r="105" spans="3:14">
      <c r="C105" s="1806">
        <v>2831002</v>
      </c>
      <c r="D105"/>
      <c r="E105" s="2213">
        <v>7055</v>
      </c>
      <c r="F105"/>
      <c r="G105" s="777" t="s">
        <v>1742</v>
      </c>
      <c r="H105" s="2443">
        <v>23224.7</v>
      </c>
      <c r="I105" s="1806" t="s">
        <v>291</v>
      </c>
      <c r="J105" s="761">
        <f t="shared" si="18"/>
        <v>23224.7</v>
      </c>
      <c r="K105" s="761"/>
      <c r="L105" s="761"/>
      <c r="M105" s="781"/>
      <c r="N105" s="781"/>
    </row>
    <row r="106" spans="3:14">
      <c r="C106" s="1806">
        <v>2831002</v>
      </c>
      <c r="D106"/>
      <c r="E106" s="2213">
        <v>7083</v>
      </c>
      <c r="F106"/>
      <c r="G106" s="777" t="s">
        <v>1743</v>
      </c>
      <c r="H106" s="2443">
        <v>12913.34</v>
      </c>
      <c r="I106" s="1806" t="s">
        <v>291</v>
      </c>
      <c r="J106" s="761">
        <f t="shared" si="18"/>
        <v>12913.34</v>
      </c>
      <c r="K106" s="761"/>
      <c r="L106" s="761"/>
      <c r="M106" s="781"/>
      <c r="N106" s="781"/>
    </row>
    <row r="107" spans="3:14">
      <c r="C107" s="1806">
        <v>2831002</v>
      </c>
      <c r="D107"/>
      <c r="E107" s="2213">
        <v>7085</v>
      </c>
      <c r="F107"/>
      <c r="G107" s="777" t="s">
        <v>1702</v>
      </c>
      <c r="H107" s="2443">
        <v>-4573797.2300000004</v>
      </c>
      <c r="I107" s="1806" t="s">
        <v>158</v>
      </c>
      <c r="J107" s="761"/>
      <c r="K107" s="761"/>
      <c r="L107" s="761">
        <f>H107</f>
        <v>-4573797.2300000004</v>
      </c>
      <c r="M107" s="781"/>
      <c r="N107" s="781"/>
    </row>
    <row r="108" spans="3:14">
      <c r="C108" s="1806">
        <v>2831002</v>
      </c>
      <c r="D108"/>
      <c r="E108" s="2213">
        <v>7086</v>
      </c>
      <c r="F108"/>
      <c r="G108" s="777" t="s">
        <v>1703</v>
      </c>
      <c r="H108" s="2443">
        <v>-22306.32</v>
      </c>
      <c r="I108" s="1806" t="s">
        <v>291</v>
      </c>
      <c r="J108" s="761">
        <f>H108</f>
        <v>-22306.32</v>
      </c>
      <c r="K108" s="761"/>
      <c r="L108" s="761"/>
      <c r="M108" s="781"/>
      <c r="N108" s="781"/>
    </row>
    <row r="109" spans="3:14">
      <c r="C109" s="1806">
        <v>2831002</v>
      </c>
      <c r="D109"/>
      <c r="E109" s="2213">
        <v>7103</v>
      </c>
      <c r="F109"/>
      <c r="G109" s="777" t="s">
        <v>1704</v>
      </c>
      <c r="H109" s="2443">
        <v>-1657.36</v>
      </c>
      <c r="I109" s="1806" t="s">
        <v>291</v>
      </c>
      <c r="J109" s="761">
        <f t="shared" ref="J109:J111" si="19">H109</f>
        <v>-1657.36</v>
      </c>
      <c r="K109" s="761"/>
      <c r="L109" s="761"/>
      <c r="M109" s="781"/>
      <c r="N109" s="781"/>
    </row>
    <row r="110" spans="3:14">
      <c r="C110" s="1806">
        <v>2831002</v>
      </c>
      <c r="D110"/>
      <c r="E110" s="2213">
        <v>7104</v>
      </c>
      <c r="F110"/>
      <c r="G110" s="777" t="s">
        <v>1744</v>
      </c>
      <c r="H110" s="2443">
        <v>41245.11</v>
      </c>
      <c r="I110" s="1806" t="s">
        <v>291</v>
      </c>
      <c r="J110" s="761">
        <f t="shared" si="19"/>
        <v>41245.11</v>
      </c>
      <c r="K110" s="761"/>
      <c r="L110" s="761"/>
      <c r="M110" s="781"/>
      <c r="N110" s="781"/>
    </row>
    <row r="111" spans="3:14">
      <c r="C111" s="1806">
        <v>2831002</v>
      </c>
      <c r="D111"/>
      <c r="E111" s="2213">
        <v>7110</v>
      </c>
      <c r="F111"/>
      <c r="G111" s="777" t="s">
        <v>1745</v>
      </c>
      <c r="H111" s="2443">
        <v>-1186623.1499999999</v>
      </c>
      <c r="I111" s="1806" t="s">
        <v>291</v>
      </c>
      <c r="J111" s="761">
        <f t="shared" si="19"/>
        <v>-1186623.1499999999</v>
      </c>
      <c r="K111" s="761"/>
      <c r="L111" s="761"/>
      <c r="M111" s="781"/>
      <c r="N111" s="781"/>
    </row>
    <row r="112" spans="3:14">
      <c r="C112" s="1806">
        <v>2831002</v>
      </c>
      <c r="D112"/>
      <c r="E112" s="2213">
        <v>7137</v>
      </c>
      <c r="F112"/>
      <c r="G112" s="777" t="s">
        <v>1705</v>
      </c>
      <c r="H112" s="2443">
        <v>-1859079.97</v>
      </c>
      <c r="I112" s="1806" t="s">
        <v>291</v>
      </c>
      <c r="J112" s="761">
        <f t="shared" ref="J112:J117" si="20">H112</f>
        <v>-1859079.97</v>
      </c>
      <c r="K112" s="761"/>
      <c r="L112" s="761"/>
      <c r="M112" s="781"/>
      <c r="N112" s="781"/>
    </row>
    <row r="113" spans="3:14">
      <c r="C113" s="1806">
        <v>2831002</v>
      </c>
      <c r="D113"/>
      <c r="E113" s="2213">
        <v>7138</v>
      </c>
      <c r="F113"/>
      <c r="G113" s="777" t="s">
        <v>1706</v>
      </c>
      <c r="H113" s="2443">
        <v>-3547.94</v>
      </c>
      <c r="I113" s="1806" t="s">
        <v>291</v>
      </c>
      <c r="J113" s="761">
        <f t="shared" si="20"/>
        <v>-3547.94</v>
      </c>
      <c r="K113" s="761"/>
      <c r="L113" s="761"/>
      <c r="M113" s="781"/>
      <c r="N113" s="781"/>
    </row>
    <row r="114" spans="3:14">
      <c r="C114" s="1806">
        <v>2831002</v>
      </c>
      <c r="D114"/>
      <c r="E114" s="2213">
        <v>7139</v>
      </c>
      <c r="F114"/>
      <c r="G114" s="777" t="s">
        <v>1707</v>
      </c>
      <c r="H114" s="2443">
        <v>-633364.61</v>
      </c>
      <c r="I114" s="1806" t="s">
        <v>291</v>
      </c>
      <c r="J114" s="761">
        <f t="shared" si="20"/>
        <v>-633364.61</v>
      </c>
      <c r="K114" s="761"/>
      <c r="L114" s="761"/>
      <c r="M114" s="781"/>
      <c r="N114" s="781"/>
    </row>
    <row r="115" spans="3:14">
      <c r="C115" s="1806">
        <v>2831002</v>
      </c>
      <c r="D115"/>
      <c r="E115" s="2213">
        <v>7141</v>
      </c>
      <c r="F115"/>
      <c r="G115" s="777" t="s">
        <v>1708</v>
      </c>
      <c r="H115" s="2443">
        <v>-120091.28</v>
      </c>
      <c r="I115" s="1806" t="s">
        <v>291</v>
      </c>
      <c r="J115" s="761">
        <f t="shared" si="20"/>
        <v>-120091.28</v>
      </c>
      <c r="K115" s="761"/>
      <c r="L115" s="761"/>
      <c r="M115" s="781"/>
      <c r="N115" s="781"/>
    </row>
    <row r="116" spans="3:14">
      <c r="C116" s="1806">
        <v>2831002</v>
      </c>
      <c r="D116"/>
      <c r="E116" s="2213">
        <v>7175</v>
      </c>
      <c r="F116"/>
      <c r="G116" s="777" t="s">
        <v>1709</v>
      </c>
      <c r="H116" s="2443">
        <v>-2650900.59</v>
      </c>
      <c r="I116" s="1806" t="s">
        <v>291</v>
      </c>
      <c r="J116" s="761">
        <f t="shared" si="20"/>
        <v>-2650900.59</v>
      </c>
      <c r="K116" s="761"/>
      <c r="L116" s="761"/>
      <c r="M116" s="781"/>
      <c r="N116" s="781"/>
    </row>
    <row r="117" spans="3:14">
      <c r="C117" s="1806">
        <v>2831002</v>
      </c>
      <c r="D117"/>
      <c r="E117" s="2213">
        <v>7176</v>
      </c>
      <c r="F117"/>
      <c r="G117" s="777" t="s">
        <v>1710</v>
      </c>
      <c r="H117" s="2443">
        <v>2089053.56</v>
      </c>
      <c r="I117" s="1806" t="s">
        <v>291</v>
      </c>
      <c r="J117" s="761">
        <f t="shared" si="20"/>
        <v>2089053.56</v>
      </c>
      <c r="K117" s="761"/>
      <c r="L117" s="761"/>
      <c r="M117" s="781"/>
      <c r="N117" s="781"/>
    </row>
    <row r="118" spans="3:14">
      <c r="C118" s="1806">
        <v>2831002</v>
      </c>
      <c r="D118"/>
      <c r="E118" s="2213">
        <v>7378</v>
      </c>
      <c r="F118"/>
      <c r="G118" s="777" t="s">
        <v>1711</v>
      </c>
      <c r="H118" s="2443">
        <v>-1374964.84</v>
      </c>
      <c r="I118" s="1806" t="s">
        <v>291</v>
      </c>
      <c r="J118" s="761">
        <f t="shared" ref="J118:J120" si="21">H118</f>
        <v>-1374964.84</v>
      </c>
      <c r="K118" s="761"/>
      <c r="L118" s="761"/>
      <c r="M118" s="781"/>
      <c r="N118" s="781"/>
    </row>
    <row r="119" spans="3:14">
      <c r="C119" s="1806">
        <v>2831002</v>
      </c>
      <c r="D119"/>
      <c r="E119" s="2213">
        <v>7379</v>
      </c>
      <c r="F119"/>
      <c r="G119" s="777" t="s">
        <v>1712</v>
      </c>
      <c r="H119" s="2443">
        <v>476257.99</v>
      </c>
      <c r="I119" s="1806" t="s">
        <v>291</v>
      </c>
      <c r="J119" s="761">
        <f t="shared" si="21"/>
        <v>476257.99</v>
      </c>
      <c r="K119" s="761"/>
      <c r="L119" s="761"/>
      <c r="M119" s="781"/>
      <c r="N119" s="781"/>
    </row>
    <row r="120" spans="3:14">
      <c r="C120" s="1806">
        <v>2831002</v>
      </c>
      <c r="D120"/>
      <c r="E120" s="2213">
        <v>7389</v>
      </c>
      <c r="F120"/>
      <c r="G120" s="777" t="s">
        <v>1713</v>
      </c>
      <c r="H120" s="2443">
        <v>-5144.4799999999996</v>
      </c>
      <c r="I120" s="1806" t="s">
        <v>291</v>
      </c>
      <c r="J120" s="761">
        <f t="shared" si="21"/>
        <v>-5144.4799999999996</v>
      </c>
      <c r="K120" s="761"/>
      <c r="L120" s="761"/>
      <c r="M120" s="781"/>
      <c r="N120" s="781"/>
    </row>
    <row r="121" spans="3:14">
      <c r="C121" s="1806">
        <v>2831002</v>
      </c>
      <c r="D121"/>
      <c r="E121" s="2213">
        <v>7394</v>
      </c>
      <c r="F121"/>
      <c r="G121" s="777" t="s">
        <v>1714</v>
      </c>
      <c r="H121" s="2443">
        <v>-2495.67</v>
      </c>
      <c r="I121" s="1806" t="s">
        <v>291</v>
      </c>
      <c r="J121" s="761">
        <f>H121</f>
        <v>-2495.67</v>
      </c>
      <c r="K121" s="761"/>
      <c r="L121" s="761"/>
      <c r="M121" s="781"/>
      <c r="N121" s="781"/>
    </row>
    <row r="122" spans="3:14">
      <c r="C122" s="1806">
        <v>2831002</v>
      </c>
      <c r="D122"/>
      <c r="E122" s="2213">
        <v>7401</v>
      </c>
      <c r="F122"/>
      <c r="G122" s="777" t="s">
        <v>1715</v>
      </c>
      <c r="H122" s="2443">
        <v>-2384977.61</v>
      </c>
      <c r="I122" s="1806" t="s">
        <v>291</v>
      </c>
      <c r="J122" s="761">
        <f>H122</f>
        <v>-2384977.61</v>
      </c>
      <c r="K122" s="761"/>
      <c r="L122" s="761"/>
      <c r="M122" s="781"/>
      <c r="N122" s="781"/>
    </row>
    <row r="123" spans="3:14">
      <c r="C123" s="1806">
        <v>2831002</v>
      </c>
      <c r="D123"/>
      <c r="E123" s="2213">
        <v>7414</v>
      </c>
      <c r="F123"/>
      <c r="G123" s="777" t="s">
        <v>1716</v>
      </c>
      <c r="H123" s="2443">
        <v>-104122.21</v>
      </c>
      <c r="I123" s="1806" t="s">
        <v>291</v>
      </c>
      <c r="J123" s="761">
        <f>H123</f>
        <v>-104122.21</v>
      </c>
      <c r="K123" s="761"/>
      <c r="L123" s="761"/>
      <c r="M123" s="781"/>
      <c r="N123" s="781"/>
    </row>
    <row r="124" spans="3:14">
      <c r="C124" s="1806">
        <v>2831002</v>
      </c>
      <c r="D124"/>
      <c r="E124" s="2213">
        <v>7443</v>
      </c>
      <c r="F124"/>
      <c r="G124" s="777" t="s">
        <v>1717</v>
      </c>
      <c r="H124" s="2443">
        <v>44343.98</v>
      </c>
      <c r="I124" s="1806" t="s">
        <v>291</v>
      </c>
      <c r="J124" s="761">
        <f t="shared" ref="J124:J142" si="22">H124</f>
        <v>44343.98</v>
      </c>
      <c r="K124" s="761"/>
      <c r="L124" s="761"/>
      <c r="M124" s="781"/>
      <c r="N124" s="781"/>
    </row>
    <row r="125" spans="3:14">
      <c r="C125" s="1806">
        <v>2831002</v>
      </c>
      <c r="D125"/>
      <c r="E125" s="2213">
        <v>7446</v>
      </c>
      <c r="F125"/>
      <c r="G125" s="777" t="s">
        <v>1718</v>
      </c>
      <c r="H125" s="2443">
        <v>-104917.89</v>
      </c>
      <c r="I125" s="1806" t="s">
        <v>291</v>
      </c>
      <c r="J125" s="761">
        <f t="shared" si="22"/>
        <v>-104917.89</v>
      </c>
      <c r="K125" s="761"/>
      <c r="L125" s="761"/>
      <c r="M125" s="781"/>
      <c r="N125" s="781"/>
    </row>
    <row r="126" spans="3:14">
      <c r="C126" s="1806">
        <v>2831002</v>
      </c>
      <c r="D126"/>
      <c r="E126" s="2213">
        <v>7463</v>
      </c>
      <c r="F126"/>
      <c r="G126" s="777" t="s">
        <v>1746</v>
      </c>
      <c r="H126" s="2443">
        <v>-222974.81</v>
      </c>
      <c r="I126" s="1806" t="s">
        <v>291</v>
      </c>
      <c r="J126" s="761">
        <f t="shared" si="22"/>
        <v>-222974.81</v>
      </c>
      <c r="K126" s="761"/>
      <c r="L126" s="761"/>
      <c r="M126" s="781"/>
      <c r="N126" s="781"/>
    </row>
    <row r="127" spans="3:14">
      <c r="C127" s="1806">
        <v>2831002</v>
      </c>
      <c r="D127"/>
      <c r="E127" s="2213">
        <v>7488</v>
      </c>
      <c r="F127"/>
      <c r="G127" s="777" t="s">
        <v>1719</v>
      </c>
      <c r="H127" s="2443">
        <v>-982917.01</v>
      </c>
      <c r="I127" s="1806" t="s">
        <v>291</v>
      </c>
      <c r="J127" s="761">
        <f t="shared" si="22"/>
        <v>-982917.01</v>
      </c>
      <c r="K127" s="761"/>
      <c r="L127" s="761"/>
      <c r="M127" s="781"/>
      <c r="N127" s="781"/>
    </row>
    <row r="128" spans="3:14">
      <c r="C128" s="1806">
        <v>2831002</v>
      </c>
      <c r="D128"/>
      <c r="E128" s="2213">
        <v>7489</v>
      </c>
      <c r="F128"/>
      <c r="G128" s="777" t="s">
        <v>1720</v>
      </c>
      <c r="H128" s="2443">
        <v>982917.01</v>
      </c>
      <c r="I128" s="1806" t="s">
        <v>291</v>
      </c>
      <c r="J128" s="761">
        <f t="shared" si="22"/>
        <v>982917.01</v>
      </c>
      <c r="K128" s="761"/>
      <c r="L128" s="761"/>
      <c r="M128" s="781"/>
      <c r="N128" s="781"/>
    </row>
    <row r="129" spans="3:14">
      <c r="C129" s="1806">
        <v>2831002</v>
      </c>
      <c r="D129"/>
      <c r="E129" s="2213">
        <v>7491</v>
      </c>
      <c r="F129"/>
      <c r="G129" s="777" t="s">
        <v>1721</v>
      </c>
      <c r="H129" s="2443">
        <v>-1197539.0900000001</v>
      </c>
      <c r="I129" s="1806" t="s">
        <v>291</v>
      </c>
      <c r="J129" s="761">
        <f t="shared" si="22"/>
        <v>-1197539.0900000001</v>
      </c>
      <c r="K129" s="761"/>
      <c r="L129" s="761"/>
      <c r="M129" s="781"/>
      <c r="N129" s="781"/>
    </row>
    <row r="130" spans="3:14">
      <c r="C130" s="1806">
        <v>2831002</v>
      </c>
      <c r="D130"/>
      <c r="E130" s="2213">
        <v>7559</v>
      </c>
      <c r="F130"/>
      <c r="G130" s="777" t="s">
        <v>1722</v>
      </c>
      <c r="H130" s="2443">
        <v>-16016.87</v>
      </c>
      <c r="I130" s="1806" t="s">
        <v>291</v>
      </c>
      <c r="J130" s="761">
        <f t="shared" si="22"/>
        <v>-16016.87</v>
      </c>
      <c r="K130" s="761"/>
      <c r="L130" s="761"/>
      <c r="M130" s="781"/>
      <c r="N130" s="781"/>
    </row>
    <row r="131" spans="3:14">
      <c r="C131" s="1806">
        <v>2831002</v>
      </c>
      <c r="D131"/>
      <c r="E131" s="2213">
        <v>7571</v>
      </c>
      <c r="F131"/>
      <c r="G131" s="777" t="s">
        <v>1723</v>
      </c>
      <c r="H131" s="2443">
        <v>-190702.8</v>
      </c>
      <c r="I131" s="1806" t="s">
        <v>158</v>
      </c>
      <c r="J131" s="761"/>
      <c r="K131" s="761"/>
      <c r="L131" s="761">
        <f>H131</f>
        <v>-190702.8</v>
      </c>
      <c r="M131" s="781"/>
      <c r="N131" s="781"/>
    </row>
    <row r="132" spans="3:14">
      <c r="C132" s="1806">
        <v>2831002</v>
      </c>
      <c r="D132"/>
      <c r="E132" s="2213">
        <v>7575</v>
      </c>
      <c r="F132"/>
      <c r="G132" s="777" t="s">
        <v>1724</v>
      </c>
      <c r="H132" s="2443">
        <v>-1874892.9</v>
      </c>
      <c r="I132" s="1806" t="s">
        <v>1864</v>
      </c>
      <c r="J132" s="761"/>
      <c r="K132" s="761"/>
      <c r="L132" s="761"/>
      <c r="M132" s="781"/>
      <c r="N132" s="781">
        <f>H132</f>
        <v>-1874892.9</v>
      </c>
    </row>
    <row r="133" spans="3:14">
      <c r="C133" s="1806">
        <v>2831002</v>
      </c>
      <c r="D133"/>
      <c r="E133" s="2213">
        <v>7577</v>
      </c>
      <c r="F133"/>
      <c r="G133" s="777" t="s">
        <v>1747</v>
      </c>
      <c r="H133" s="2443">
        <v>633364.61</v>
      </c>
      <c r="I133" s="1806" t="s">
        <v>291</v>
      </c>
      <c r="J133" s="761">
        <f t="shared" si="22"/>
        <v>633364.61</v>
      </c>
      <c r="K133" s="761"/>
      <c r="L133" s="761"/>
      <c r="M133" s="781"/>
      <c r="N133" s="781"/>
    </row>
    <row r="134" spans="3:14">
      <c r="C134" s="1806">
        <v>2831002</v>
      </c>
      <c r="D134"/>
      <c r="E134" s="2213">
        <v>7580</v>
      </c>
      <c r="F134"/>
      <c r="G134" s="777" t="s">
        <v>1748</v>
      </c>
      <c r="H134" s="2443">
        <v>84289.43</v>
      </c>
      <c r="I134" s="1806" t="s">
        <v>1864</v>
      </c>
      <c r="J134" s="761"/>
      <c r="K134" s="761"/>
      <c r="L134" s="761"/>
      <c r="M134" s="781"/>
      <c r="N134" s="781">
        <f>H134</f>
        <v>84289.43</v>
      </c>
    </row>
    <row r="135" spans="3:14">
      <c r="C135" s="1806">
        <v>2831002</v>
      </c>
      <c r="D135"/>
      <c r="E135" s="2213">
        <v>7581</v>
      </c>
      <c r="F135"/>
      <c r="G135" s="777" t="s">
        <v>1749</v>
      </c>
      <c r="H135" s="2443">
        <v>3354979.86</v>
      </c>
      <c r="I135" s="1806" t="s">
        <v>291</v>
      </c>
      <c r="J135" s="761">
        <f t="shared" si="22"/>
        <v>3354979.86</v>
      </c>
      <c r="K135" s="761"/>
      <c r="L135" s="761"/>
      <c r="M135" s="781"/>
      <c r="N135" s="781"/>
    </row>
    <row r="136" spans="3:14">
      <c r="C136" s="1806">
        <v>2831002</v>
      </c>
      <c r="D136"/>
      <c r="E136" s="2213">
        <v>7583</v>
      </c>
      <c r="F136"/>
      <c r="G136" s="777" t="s">
        <v>1725</v>
      </c>
      <c r="H136" s="2443">
        <v>-19525.91</v>
      </c>
      <c r="I136" s="1806" t="s">
        <v>291</v>
      </c>
      <c r="J136" s="761">
        <f t="shared" si="22"/>
        <v>-19525.91</v>
      </c>
      <c r="K136" s="761"/>
      <c r="L136" s="761"/>
      <c r="M136" s="781"/>
      <c r="N136" s="781"/>
    </row>
    <row r="137" spans="3:14">
      <c r="C137" s="1806">
        <v>2831002</v>
      </c>
      <c r="D137"/>
      <c r="E137" s="2213">
        <v>7584</v>
      </c>
      <c r="F137"/>
      <c r="G137" s="777" t="s">
        <v>1750</v>
      </c>
      <c r="H137" s="2443">
        <v>4658326.82</v>
      </c>
      <c r="I137" s="1806" t="s">
        <v>291</v>
      </c>
      <c r="J137" s="761">
        <f t="shared" si="22"/>
        <v>4658326.82</v>
      </c>
      <c r="K137" s="761"/>
      <c r="L137" s="761"/>
      <c r="M137" s="781"/>
      <c r="N137" s="781"/>
    </row>
    <row r="138" spans="3:14">
      <c r="C138" s="1806">
        <v>2831002</v>
      </c>
      <c r="D138"/>
      <c r="E138" s="2213">
        <v>7585</v>
      </c>
      <c r="F138"/>
      <c r="G138" s="777" t="s">
        <v>1690</v>
      </c>
      <c r="H138" s="2443">
        <v>-4494263.9400000004</v>
      </c>
      <c r="I138" s="1806" t="s">
        <v>291</v>
      </c>
      <c r="J138" s="761">
        <f t="shared" si="22"/>
        <v>-4494263.9400000004</v>
      </c>
      <c r="K138" s="761"/>
      <c r="L138" s="761"/>
      <c r="M138" s="781"/>
      <c r="N138" s="781"/>
    </row>
    <row r="139" spans="3:14">
      <c r="C139" s="1806">
        <v>2831002</v>
      </c>
      <c r="D139"/>
      <c r="E139" s="2213">
        <v>8016</v>
      </c>
      <c r="F139"/>
      <c r="G139" s="777" t="s">
        <v>1751</v>
      </c>
      <c r="H139" s="2443">
        <v>52427.29</v>
      </c>
      <c r="I139" s="1806" t="s">
        <v>291</v>
      </c>
      <c r="J139" s="761">
        <f t="shared" si="22"/>
        <v>52427.29</v>
      </c>
      <c r="K139" s="761"/>
      <c r="L139" s="761"/>
      <c r="M139" s="781"/>
      <c r="N139" s="781"/>
    </row>
    <row r="140" spans="3:14">
      <c r="C140" s="1806">
        <v>2831002</v>
      </c>
      <c r="D140"/>
      <c r="E140" s="2213">
        <v>8018</v>
      </c>
      <c r="F140"/>
      <c r="G140" s="777" t="s">
        <v>1752</v>
      </c>
      <c r="H140" s="2443">
        <v>-2304.87</v>
      </c>
      <c r="I140" s="1806" t="s">
        <v>291</v>
      </c>
      <c r="J140" s="761">
        <f t="shared" si="22"/>
        <v>-2304.87</v>
      </c>
      <c r="K140" s="761"/>
      <c r="L140" s="761"/>
      <c r="M140" s="781"/>
      <c r="N140" s="781"/>
    </row>
    <row r="141" spans="3:14">
      <c r="C141" s="1806">
        <v>2831002</v>
      </c>
      <c r="D141"/>
      <c r="E141" s="2213">
        <v>8022</v>
      </c>
      <c r="F141"/>
      <c r="G141" s="777" t="s">
        <v>1753</v>
      </c>
      <c r="H141" s="2443">
        <v>-12268.35</v>
      </c>
      <c r="I141" s="1806" t="s">
        <v>291</v>
      </c>
      <c r="J141" s="761">
        <f t="shared" si="22"/>
        <v>-12268.35</v>
      </c>
      <c r="K141" s="761"/>
      <c r="L141" s="761"/>
      <c r="M141" s="781"/>
      <c r="N141" s="781"/>
    </row>
    <row r="142" spans="3:14">
      <c r="C142" s="1806">
        <v>2831002</v>
      </c>
      <c r="D142"/>
      <c r="E142" s="2213">
        <v>8023</v>
      </c>
      <c r="F142"/>
      <c r="G142" s="777" t="s">
        <v>1726</v>
      </c>
      <c r="H142" s="2443">
        <v>-164659.17000000001</v>
      </c>
      <c r="I142" s="1806" t="s">
        <v>291</v>
      </c>
      <c r="J142" s="761">
        <f t="shared" si="22"/>
        <v>-164659.17000000001</v>
      </c>
      <c r="K142" s="761"/>
      <c r="L142" s="761"/>
      <c r="M142" s="781"/>
      <c r="N142" s="781"/>
    </row>
    <row r="143" spans="3:14">
      <c r="C143" s="1806">
        <v>2831002</v>
      </c>
      <c r="D143"/>
      <c r="E143" s="2213">
        <v>8053</v>
      </c>
      <c r="F143"/>
      <c r="G143" s="777" t="s">
        <v>1727</v>
      </c>
      <c r="H143" s="2443">
        <v>762101.92</v>
      </c>
      <c r="I143" s="1806" t="s">
        <v>1864</v>
      </c>
      <c r="J143" s="761"/>
      <c r="K143" s="761"/>
      <c r="L143" s="761"/>
      <c r="M143" s="781"/>
      <c r="N143" s="781">
        <f>H143</f>
        <v>762101.92</v>
      </c>
    </row>
    <row r="144" spans="3:14">
      <c r="C144" s="1806">
        <v>2831002</v>
      </c>
      <c r="D144"/>
      <c r="E144" s="2213">
        <v>8062</v>
      </c>
      <c r="F144"/>
      <c r="G144" s="777" t="s">
        <v>1754</v>
      </c>
      <c r="H144" s="2443">
        <v>7067.77</v>
      </c>
      <c r="I144" s="1806" t="s">
        <v>1864</v>
      </c>
      <c r="J144" s="761"/>
      <c r="K144" s="761"/>
      <c r="L144" s="761"/>
      <c r="M144" s="781"/>
      <c r="N144" s="781">
        <f>H144</f>
        <v>7067.77</v>
      </c>
    </row>
    <row r="145" spans="3:16">
      <c r="C145" s="1806">
        <v>2831002</v>
      </c>
      <c r="D145" s="783"/>
      <c r="E145" s="795"/>
      <c r="G145" s="777"/>
      <c r="H145" s="2207"/>
      <c r="I145" s="780"/>
      <c r="J145" s="781"/>
      <c r="K145" s="761"/>
      <c r="L145" s="761"/>
      <c r="M145" s="781"/>
      <c r="N145" s="781"/>
    </row>
    <row r="146" spans="3:16">
      <c r="D146" s="12"/>
      <c r="I146" s="761"/>
      <c r="J146" s="793" t="str">
        <f>IF(I146="e",H146," ")</f>
        <v xml:space="preserve"> </v>
      </c>
      <c r="K146" s="793"/>
      <c r="L146" s="793" t="str">
        <f>IF($I146="PTD",$H146," ")</f>
        <v xml:space="preserve"> </v>
      </c>
      <c r="M146" s="793" t="str">
        <f>IF($I146="T&amp;D",$H146," ")</f>
        <v xml:space="preserve"> </v>
      </c>
      <c r="N146" s="793" t="str">
        <f>IF(I146="Labor",H146," ")</f>
        <v xml:space="preserve"> </v>
      </c>
    </row>
    <row r="147" spans="3:16" ht="13">
      <c r="C147" s="33">
        <v>283.10000000000002</v>
      </c>
      <c r="D147" s="12"/>
      <c r="G147" s="561" t="s">
        <v>159</v>
      </c>
      <c r="H147" s="2208">
        <f>SUM(H35:H146)</f>
        <v>-295008067.64000005</v>
      </c>
      <c r="I147" s="761"/>
      <c r="J147" s="801">
        <f>SUM(J35:J146)</f>
        <v>-47935137.589999996</v>
      </c>
      <c r="K147" s="801">
        <f>SUM(K35:K146)</f>
        <v>0</v>
      </c>
      <c r="L147" s="801">
        <f>SUM(L35:L146)</f>
        <v>-225467409.62</v>
      </c>
      <c r="M147" s="801">
        <f>SUM(M35:M146)</f>
        <v>0</v>
      </c>
      <c r="N147" s="801">
        <f>SUM(N35:N146)</f>
        <v>-21605520.43</v>
      </c>
      <c r="O147" s="782">
        <f>SUM(J147:N147)</f>
        <v>-295008067.63999999</v>
      </c>
      <c r="P147" s="804">
        <f>H147-O147</f>
        <v>0</v>
      </c>
    </row>
    <row r="148" spans="3:16" ht="25.5" customHeight="1">
      <c r="C148" s="802"/>
      <c r="D148" s="12"/>
      <c r="G148" s="791" t="s">
        <v>110</v>
      </c>
      <c r="H148" s="712">
        <v>-295008068</v>
      </c>
      <c r="I148" s="1350"/>
      <c r="J148" s="1347"/>
      <c r="K148" s="803"/>
      <c r="L148" s="803"/>
      <c r="M148" s="803"/>
      <c r="N148" s="803"/>
    </row>
    <row r="149" spans="3:16">
      <c r="G149" s="804"/>
      <c r="I149" s="761"/>
      <c r="J149" s="761"/>
      <c r="K149" s="761"/>
      <c r="L149" s="761"/>
      <c r="M149" s="761"/>
      <c r="N149" s="761"/>
    </row>
    <row r="150" spans="3:16">
      <c r="G150" s="804"/>
      <c r="I150" s="761"/>
      <c r="J150" s="761"/>
      <c r="K150" s="761"/>
      <c r="L150" s="761"/>
      <c r="M150" s="761"/>
      <c r="N150" s="761"/>
    </row>
    <row r="151" spans="3:16">
      <c r="I151" s="761"/>
      <c r="J151" s="761"/>
      <c r="K151" s="761"/>
      <c r="L151" s="761"/>
      <c r="M151" s="761"/>
      <c r="N151" s="761"/>
    </row>
    <row r="152" spans="3:16">
      <c r="C152" s="1806">
        <v>1901001</v>
      </c>
      <c r="D152" s="805" t="s">
        <v>337</v>
      </c>
      <c r="E152" s="795">
        <v>3501</v>
      </c>
      <c r="F152" s="778"/>
      <c r="G152" s="777" t="s">
        <v>1755</v>
      </c>
      <c r="H152" s="2443">
        <v>53831109.880000003</v>
      </c>
      <c r="I152" s="780" t="s">
        <v>291</v>
      </c>
      <c r="J152" s="781">
        <f t="shared" ref="J152:J204" si="23">IF(I152="e",H152," ")</f>
        <v>53831109.880000003</v>
      </c>
      <c r="K152" s="761" t="str">
        <f t="shared" ref="K152:K232" si="24">IF($I152="T",$H152," ")</f>
        <v xml:space="preserve"> </v>
      </c>
      <c r="L152" s="761" t="str">
        <f t="shared" ref="L152:L232" si="25">IF($I152="PTD",$H152," ")</f>
        <v xml:space="preserve"> </v>
      </c>
      <c r="M152" s="781" t="str">
        <f t="shared" ref="M152:M232" si="26">IF($I152="T&amp;D",$H152," ")</f>
        <v xml:space="preserve"> </v>
      </c>
      <c r="N152" s="781" t="str">
        <f t="shared" ref="N152:N210" si="27">IF(I152="Labor",H152," ")</f>
        <v xml:space="preserve"> </v>
      </c>
    </row>
    <row r="153" spans="3:16">
      <c r="C153" s="1806">
        <v>1901001</v>
      </c>
      <c r="D153" s="805" t="s">
        <v>337</v>
      </c>
      <c r="E153" s="795">
        <v>3508</v>
      </c>
      <c r="F153" s="778"/>
      <c r="G153" s="777" t="s">
        <v>1756</v>
      </c>
      <c r="H153" s="2443">
        <v>9097699.370000001</v>
      </c>
      <c r="I153" s="780" t="s">
        <v>291</v>
      </c>
      <c r="J153" s="781">
        <f t="shared" si="23"/>
        <v>9097699.370000001</v>
      </c>
      <c r="K153" s="761" t="str">
        <f t="shared" si="24"/>
        <v xml:space="preserve"> </v>
      </c>
      <c r="L153" s="761" t="str">
        <f t="shared" si="25"/>
        <v xml:space="preserve"> </v>
      </c>
      <c r="M153" s="781" t="str">
        <f t="shared" si="26"/>
        <v xml:space="preserve"> </v>
      </c>
      <c r="N153" s="781" t="str">
        <f t="shared" si="27"/>
        <v xml:space="preserve"> </v>
      </c>
    </row>
    <row r="154" spans="3:16">
      <c r="C154" s="1806">
        <v>1901001</v>
      </c>
      <c r="D154" s="805"/>
      <c r="E154" s="795">
        <v>4041</v>
      </c>
      <c r="F154" s="778"/>
      <c r="G154" s="777" t="s">
        <v>1757</v>
      </c>
      <c r="H154" s="2443">
        <v>3.03</v>
      </c>
      <c r="I154" s="780" t="s">
        <v>158</v>
      </c>
      <c r="J154" s="781"/>
      <c r="K154" s="761"/>
      <c r="L154" s="761">
        <f>H154</f>
        <v>3.03</v>
      </c>
      <c r="M154" s="781"/>
      <c r="N154" s="781"/>
    </row>
    <row r="155" spans="3:16">
      <c r="C155" s="1806">
        <v>1901001</v>
      </c>
      <c r="D155" s="805"/>
      <c r="E155" s="795">
        <v>6002</v>
      </c>
      <c r="F155" s="778"/>
      <c r="G155" s="777" t="s">
        <v>1676</v>
      </c>
      <c r="H155" s="2443">
        <v>357268.09</v>
      </c>
      <c r="I155" s="780" t="s">
        <v>291</v>
      </c>
      <c r="J155" s="781"/>
      <c r="K155" s="761"/>
      <c r="L155" s="761">
        <f t="shared" ref="L155:L160" si="28">H155</f>
        <v>357268.09</v>
      </c>
      <c r="M155" s="781"/>
      <c r="N155" s="781"/>
    </row>
    <row r="156" spans="3:16">
      <c r="C156" s="1806">
        <v>1901001</v>
      </c>
      <c r="D156" s="805"/>
      <c r="E156" s="795">
        <v>6004</v>
      </c>
      <c r="F156" s="778"/>
      <c r="G156" s="777" t="s">
        <v>1677</v>
      </c>
      <c r="H156" s="2443">
        <v>272768.90999999997</v>
      </c>
      <c r="I156" s="780" t="s">
        <v>291</v>
      </c>
      <c r="J156" s="781">
        <f>H156</f>
        <v>272768.90999999997</v>
      </c>
      <c r="K156" s="761"/>
      <c r="L156" s="761"/>
      <c r="M156" s="781"/>
      <c r="N156" s="781"/>
    </row>
    <row r="157" spans="3:16">
      <c r="C157" s="1806">
        <v>1901001</v>
      </c>
      <c r="D157" s="805"/>
      <c r="E157" s="795">
        <v>6006</v>
      </c>
      <c r="F157" s="778"/>
      <c r="G157" s="777" t="s">
        <v>1678</v>
      </c>
      <c r="H157" s="2443">
        <v>-21035.66</v>
      </c>
      <c r="I157" s="780" t="s">
        <v>158</v>
      </c>
      <c r="J157" s="781"/>
      <c r="K157" s="761"/>
      <c r="L157" s="761">
        <f t="shared" si="28"/>
        <v>-21035.66</v>
      </c>
      <c r="M157" s="781"/>
      <c r="N157" s="781"/>
    </row>
    <row r="158" spans="3:16">
      <c r="C158" s="1806">
        <v>1901001</v>
      </c>
      <c r="D158" s="805"/>
      <c r="E158" s="795">
        <v>6007</v>
      </c>
      <c r="F158" s="778"/>
      <c r="G158" s="777" t="s">
        <v>1679</v>
      </c>
      <c r="H158" s="2443">
        <v>-642631.4</v>
      </c>
      <c r="I158" s="780" t="s">
        <v>158</v>
      </c>
      <c r="J158" s="781"/>
      <c r="K158" s="761"/>
      <c r="L158" s="761">
        <f t="shared" si="28"/>
        <v>-642631.4</v>
      </c>
      <c r="M158" s="781"/>
      <c r="N158" s="781"/>
    </row>
    <row r="159" spans="3:16">
      <c r="C159" s="1806">
        <v>1901001</v>
      </c>
      <c r="D159" s="805"/>
      <c r="E159" s="795">
        <v>6009</v>
      </c>
      <c r="F159" s="778"/>
      <c r="G159" s="777" t="s">
        <v>1680</v>
      </c>
      <c r="H159" s="2443">
        <v>3998980.23</v>
      </c>
      <c r="I159" s="780" t="s">
        <v>158</v>
      </c>
      <c r="J159" s="781"/>
      <c r="K159" s="761"/>
      <c r="L159" s="761">
        <f t="shared" si="28"/>
        <v>3998980.23</v>
      </c>
      <c r="M159" s="781"/>
      <c r="N159" s="781"/>
    </row>
    <row r="160" spans="3:16">
      <c r="C160" s="1806">
        <v>1901001</v>
      </c>
      <c r="D160" s="805"/>
      <c r="E160" s="795">
        <v>6011</v>
      </c>
      <c r="F160" s="778"/>
      <c r="G160" s="777" t="s">
        <v>1681</v>
      </c>
      <c r="H160" s="2443">
        <v>-642668.75</v>
      </c>
      <c r="I160" s="780" t="s">
        <v>158</v>
      </c>
      <c r="J160" s="781"/>
      <c r="K160" s="761"/>
      <c r="L160" s="761">
        <f t="shared" si="28"/>
        <v>-642668.75</v>
      </c>
      <c r="M160" s="781"/>
      <c r="N160" s="781"/>
    </row>
    <row r="161" spans="3:14">
      <c r="C161" s="1806">
        <v>1901001</v>
      </c>
      <c r="D161" s="805"/>
      <c r="E161" s="795">
        <v>6018</v>
      </c>
      <c r="F161" s="778"/>
      <c r="G161" s="777" t="s">
        <v>1682</v>
      </c>
      <c r="H161" s="2443">
        <v>21173046.439999998</v>
      </c>
      <c r="I161" s="780" t="s">
        <v>158</v>
      </c>
      <c r="J161" s="781"/>
      <c r="K161" s="761"/>
      <c r="L161" s="761">
        <f>H161</f>
        <v>21173046.439999998</v>
      </c>
      <c r="M161" s="781"/>
      <c r="N161" s="781"/>
    </row>
    <row r="162" spans="3:14">
      <c r="C162" s="1806">
        <v>1901001</v>
      </c>
      <c r="D162" s="805"/>
      <c r="E162" s="795">
        <v>6020</v>
      </c>
      <c r="F162" s="778"/>
      <c r="G162" s="777" t="s">
        <v>1728</v>
      </c>
      <c r="H162" s="2443">
        <v>589650.80000000005</v>
      </c>
      <c r="I162" s="780" t="s">
        <v>158</v>
      </c>
      <c r="J162" s="781"/>
      <c r="K162" s="761"/>
      <c r="L162" s="761">
        <f>H162</f>
        <v>589650.80000000005</v>
      </c>
      <c r="M162" s="781"/>
      <c r="N162" s="781"/>
    </row>
    <row r="163" spans="3:14">
      <c r="C163" s="1806">
        <v>1901001</v>
      </c>
      <c r="D163" s="805"/>
      <c r="E163" s="795">
        <v>6021</v>
      </c>
      <c r="F163" s="778"/>
      <c r="G163" s="777" t="s">
        <v>1684</v>
      </c>
      <c r="H163" s="2443">
        <v>88973.119999999995</v>
      </c>
      <c r="I163" s="780" t="s">
        <v>291</v>
      </c>
      <c r="J163" s="781">
        <f>H163</f>
        <v>88973.119999999995</v>
      </c>
      <c r="K163" s="761"/>
      <c r="L163" s="761"/>
      <c r="M163" s="781"/>
      <c r="N163" s="781"/>
    </row>
    <row r="164" spans="3:14">
      <c r="C164" s="1806">
        <v>1901001</v>
      </c>
      <c r="D164" s="805"/>
      <c r="E164" s="795">
        <v>6022</v>
      </c>
      <c r="F164" s="778"/>
      <c r="G164" s="777" t="s">
        <v>1685</v>
      </c>
      <c r="H164" s="2443">
        <v>780929.25</v>
      </c>
      <c r="I164" s="780" t="s">
        <v>291</v>
      </c>
      <c r="J164" s="781">
        <f>H164</f>
        <v>780929.25</v>
      </c>
      <c r="K164" s="761"/>
      <c r="L164" s="761"/>
      <c r="M164" s="781"/>
      <c r="N164" s="781"/>
    </row>
    <row r="165" spans="3:14">
      <c r="C165" s="1806">
        <v>1901001</v>
      </c>
      <c r="D165" s="805"/>
      <c r="E165" s="795">
        <v>6024</v>
      </c>
      <c r="F165" s="778"/>
      <c r="G165" s="777" t="s">
        <v>1686</v>
      </c>
      <c r="H165" s="2443">
        <v>7653946.8300000001</v>
      </c>
      <c r="I165" s="780" t="s">
        <v>158</v>
      </c>
      <c r="J165" s="781"/>
      <c r="K165" s="761"/>
      <c r="L165" s="761">
        <f>H165</f>
        <v>7653946.8300000001</v>
      </c>
      <c r="M165" s="781"/>
      <c r="N165" s="781"/>
    </row>
    <row r="166" spans="3:14">
      <c r="C166" s="1806">
        <v>1901001</v>
      </c>
      <c r="D166" s="805"/>
      <c r="E166" s="795">
        <v>6026</v>
      </c>
      <c r="F166" s="778"/>
      <c r="G166" s="777" t="s">
        <v>1687</v>
      </c>
      <c r="H166" s="2443">
        <v>-860.16</v>
      </c>
      <c r="I166" s="780" t="s">
        <v>158</v>
      </c>
      <c r="J166" s="781"/>
      <c r="K166" s="761"/>
      <c r="L166" s="761">
        <f t="shared" ref="L166" si="29">H166</f>
        <v>-860.16</v>
      </c>
      <c r="M166" s="781"/>
      <c r="N166" s="781"/>
    </row>
    <row r="167" spans="3:14">
      <c r="C167" s="1806">
        <v>1901001</v>
      </c>
      <c r="D167" s="805"/>
      <c r="E167" s="795">
        <v>6503</v>
      </c>
      <c r="F167" s="778"/>
      <c r="G167" s="777" t="s">
        <v>1688</v>
      </c>
      <c r="H167" s="2443">
        <v>9556.2199999999993</v>
      </c>
      <c r="I167" s="780" t="s">
        <v>291</v>
      </c>
      <c r="J167" s="781">
        <f>H167</f>
        <v>9556.2199999999993</v>
      </c>
      <c r="K167" s="761"/>
      <c r="L167" s="761"/>
      <c r="M167" s="781"/>
      <c r="N167" s="781"/>
    </row>
    <row r="168" spans="3:14">
      <c r="C168" s="1806">
        <v>1901001</v>
      </c>
      <c r="D168" s="805"/>
      <c r="E168" s="795">
        <v>6523</v>
      </c>
      <c r="F168" s="778"/>
      <c r="G168" s="777" t="s">
        <v>1689</v>
      </c>
      <c r="H168" s="2443">
        <v>-314955.78000000003</v>
      </c>
      <c r="I168" s="780" t="s">
        <v>300</v>
      </c>
      <c r="J168" s="781"/>
      <c r="K168" s="761"/>
      <c r="L168" s="761"/>
      <c r="M168" s="781"/>
      <c r="N168" s="781">
        <f>H168</f>
        <v>-314955.78000000003</v>
      </c>
    </row>
    <row r="169" spans="3:14">
      <c r="C169" s="1806">
        <v>1901001</v>
      </c>
      <c r="D169" s="805" t="s">
        <v>337</v>
      </c>
      <c r="E169" s="795">
        <v>7019</v>
      </c>
      <c r="F169" s="778"/>
      <c r="G169" s="777" t="s">
        <v>1729</v>
      </c>
      <c r="H169" s="2443">
        <v>-23843177.16</v>
      </c>
      <c r="I169" s="780" t="s">
        <v>291</v>
      </c>
      <c r="J169" s="781">
        <f t="shared" si="23"/>
        <v>-23843177.16</v>
      </c>
      <c r="K169" s="761" t="str">
        <f t="shared" si="24"/>
        <v xml:space="preserve"> </v>
      </c>
      <c r="L169" s="761" t="str">
        <f t="shared" si="25"/>
        <v xml:space="preserve"> </v>
      </c>
      <c r="M169" s="781" t="str">
        <f t="shared" si="26"/>
        <v xml:space="preserve"> </v>
      </c>
      <c r="N169" s="781" t="str">
        <f t="shared" si="27"/>
        <v xml:space="preserve"> </v>
      </c>
    </row>
    <row r="170" spans="3:14">
      <c r="C170" s="1806">
        <v>1901001</v>
      </c>
      <c r="D170" s="805" t="s">
        <v>337</v>
      </c>
      <c r="E170" s="795">
        <v>7021</v>
      </c>
      <c r="F170" s="778"/>
      <c r="G170" s="777" t="s">
        <v>1730</v>
      </c>
      <c r="H170" s="2443">
        <v>3626698.32</v>
      </c>
      <c r="I170" s="780" t="s">
        <v>291</v>
      </c>
      <c r="J170" s="781">
        <f t="shared" si="23"/>
        <v>3626698.32</v>
      </c>
      <c r="K170" s="761" t="str">
        <f t="shared" si="24"/>
        <v xml:space="preserve"> </v>
      </c>
      <c r="L170" s="761" t="str">
        <f t="shared" si="25"/>
        <v xml:space="preserve"> </v>
      </c>
      <c r="M170" s="781" t="str">
        <f t="shared" si="26"/>
        <v xml:space="preserve"> </v>
      </c>
      <c r="N170" s="781" t="str">
        <f t="shared" si="27"/>
        <v xml:space="preserve"> </v>
      </c>
    </row>
    <row r="171" spans="3:14">
      <c r="C171" s="1806">
        <v>1901001</v>
      </c>
      <c r="D171" s="805"/>
      <c r="E171" s="795">
        <v>7026</v>
      </c>
      <c r="F171" s="778"/>
      <c r="G171" s="777" t="s">
        <v>1699</v>
      </c>
      <c r="H171" s="2443">
        <v>-249674.91</v>
      </c>
      <c r="I171" s="780" t="s">
        <v>291</v>
      </c>
      <c r="J171" s="781">
        <f t="shared" si="23"/>
        <v>-249674.91</v>
      </c>
      <c r="K171" s="761" t="str">
        <f t="shared" si="24"/>
        <v xml:space="preserve"> </v>
      </c>
      <c r="L171" s="761" t="str">
        <f t="shared" si="25"/>
        <v xml:space="preserve"> </v>
      </c>
      <c r="M171" s="781" t="str">
        <f t="shared" si="26"/>
        <v xml:space="preserve"> </v>
      </c>
      <c r="N171" s="781" t="str">
        <f t="shared" si="27"/>
        <v xml:space="preserve"> </v>
      </c>
    </row>
    <row r="172" spans="3:14">
      <c r="C172" s="1806">
        <v>1901001</v>
      </c>
      <c r="D172" s="805"/>
      <c r="E172" s="795">
        <v>7027</v>
      </c>
      <c r="F172" s="778"/>
      <c r="G172" s="777" t="s">
        <v>1731</v>
      </c>
      <c r="H172" s="2443">
        <v>-293757.38</v>
      </c>
      <c r="I172" s="780" t="s">
        <v>300</v>
      </c>
      <c r="J172" s="781"/>
      <c r="K172" s="761"/>
      <c r="L172" s="761"/>
      <c r="M172" s="781"/>
      <c r="N172" s="781">
        <f>H172</f>
        <v>-293757.38</v>
      </c>
    </row>
    <row r="173" spans="3:14">
      <c r="C173" s="1806">
        <v>1901001</v>
      </c>
      <c r="D173" s="805"/>
      <c r="E173" s="795">
        <v>7029</v>
      </c>
      <c r="F173" s="778"/>
      <c r="G173" s="777" t="s">
        <v>1732</v>
      </c>
      <c r="H173" s="2443">
        <v>92392.39</v>
      </c>
      <c r="I173" s="780" t="s">
        <v>300</v>
      </c>
      <c r="J173" s="781"/>
      <c r="K173" s="761"/>
      <c r="L173" s="761"/>
      <c r="M173" s="781"/>
      <c r="N173" s="781">
        <f>H173</f>
        <v>92392.39</v>
      </c>
    </row>
    <row r="174" spans="3:14">
      <c r="C174" s="1806">
        <v>1901001</v>
      </c>
      <c r="D174" s="805"/>
      <c r="E174" s="795">
        <v>7032</v>
      </c>
      <c r="F174" s="778"/>
      <c r="G174" s="777" t="s">
        <v>1700</v>
      </c>
      <c r="H174" s="2443">
        <v>542167.47</v>
      </c>
      <c r="I174" s="780" t="s">
        <v>300</v>
      </c>
      <c r="J174" s="781"/>
      <c r="K174" s="761"/>
      <c r="L174" s="761"/>
      <c r="M174" s="781"/>
      <c r="N174" s="781">
        <f>H174</f>
        <v>542167.47</v>
      </c>
    </row>
    <row r="175" spans="3:14">
      <c r="C175" s="1806">
        <v>1901001</v>
      </c>
      <c r="D175" s="805"/>
      <c r="E175" s="795">
        <v>7033</v>
      </c>
      <c r="F175" s="778"/>
      <c r="G175" s="777" t="s">
        <v>1701</v>
      </c>
      <c r="H175" s="2443">
        <v>-390406.8</v>
      </c>
      <c r="I175" s="780" t="s">
        <v>291</v>
      </c>
      <c r="J175" s="781">
        <f>H175</f>
        <v>-390406.8</v>
      </c>
      <c r="K175" s="761"/>
      <c r="L175" s="761"/>
      <c r="M175" s="781"/>
      <c r="N175" s="781"/>
    </row>
    <row r="176" spans="3:14">
      <c r="C176" s="1806">
        <v>1901001</v>
      </c>
      <c r="D176" s="805"/>
      <c r="E176" s="795">
        <v>7034</v>
      </c>
      <c r="F176" s="778"/>
      <c r="G176" s="777" t="s">
        <v>1733</v>
      </c>
      <c r="H176" s="2443">
        <v>257925</v>
      </c>
      <c r="I176" s="780" t="s">
        <v>291</v>
      </c>
      <c r="J176" s="781">
        <f>H176</f>
        <v>257925</v>
      </c>
      <c r="K176" s="761"/>
      <c r="L176" s="761"/>
      <c r="M176" s="781"/>
      <c r="N176" s="781"/>
    </row>
    <row r="177" spans="3:14">
      <c r="C177" s="1806">
        <v>1901001</v>
      </c>
      <c r="D177" s="805"/>
      <c r="E177" s="795">
        <v>7035</v>
      </c>
      <c r="F177" s="778"/>
      <c r="G177" s="777" t="s">
        <v>1734</v>
      </c>
      <c r="H177" s="2443">
        <v>17948.919999999998</v>
      </c>
      <c r="I177" s="780" t="s">
        <v>291</v>
      </c>
      <c r="J177" s="781">
        <f>H177</f>
        <v>17948.919999999998</v>
      </c>
      <c r="K177" s="761"/>
      <c r="L177" s="761"/>
      <c r="M177" s="781"/>
      <c r="N177" s="781"/>
    </row>
    <row r="178" spans="3:14">
      <c r="C178" s="1806">
        <v>1901001</v>
      </c>
      <c r="D178" s="805"/>
      <c r="E178" s="795">
        <v>7036</v>
      </c>
      <c r="F178" s="778"/>
      <c r="G178" s="777" t="s">
        <v>1735</v>
      </c>
      <c r="H178" s="2443">
        <v>18466.830000000002</v>
      </c>
      <c r="I178" s="780" t="s">
        <v>291</v>
      </c>
      <c r="J178" s="781">
        <f>H178</f>
        <v>18466.830000000002</v>
      </c>
      <c r="K178" s="761"/>
      <c r="L178" s="761"/>
      <c r="M178" s="781"/>
      <c r="N178" s="781"/>
    </row>
    <row r="179" spans="3:14">
      <c r="C179" s="1806">
        <v>1901001</v>
      </c>
      <c r="D179" s="805" t="s">
        <v>337</v>
      </c>
      <c r="E179" s="795">
        <v>7039</v>
      </c>
      <c r="F179" s="778"/>
      <c r="G179" s="777" t="s">
        <v>1736</v>
      </c>
      <c r="H179" s="2443">
        <v>362376.23</v>
      </c>
      <c r="I179" s="780" t="s">
        <v>291</v>
      </c>
      <c r="J179" s="781">
        <f t="shared" si="23"/>
        <v>362376.23</v>
      </c>
      <c r="K179" s="761" t="str">
        <f t="shared" si="24"/>
        <v xml:space="preserve"> </v>
      </c>
      <c r="L179" s="761" t="str">
        <f t="shared" si="25"/>
        <v xml:space="preserve"> </v>
      </c>
      <c r="M179" s="781" t="str">
        <f t="shared" si="26"/>
        <v xml:space="preserve"> </v>
      </c>
      <c r="N179" s="781" t="str">
        <f t="shared" si="27"/>
        <v xml:space="preserve"> </v>
      </c>
    </row>
    <row r="180" spans="3:14">
      <c r="C180" s="1806">
        <v>1901001</v>
      </c>
      <c r="D180" s="805"/>
      <c r="E180" s="795">
        <v>7040</v>
      </c>
      <c r="F180" s="778"/>
      <c r="G180" s="777" t="s">
        <v>1737</v>
      </c>
      <c r="H180" s="2443">
        <v>11990.63</v>
      </c>
      <c r="I180" s="780" t="s">
        <v>291</v>
      </c>
      <c r="J180" s="781">
        <f t="shared" si="23"/>
        <v>11990.63</v>
      </c>
      <c r="K180" s="761" t="str">
        <f t="shared" si="24"/>
        <v xml:space="preserve"> </v>
      </c>
      <c r="L180" s="761" t="str">
        <f t="shared" si="25"/>
        <v xml:space="preserve"> </v>
      </c>
      <c r="M180" s="781" t="str">
        <f t="shared" si="26"/>
        <v xml:space="preserve"> </v>
      </c>
      <c r="N180" s="781" t="str">
        <f t="shared" si="27"/>
        <v xml:space="preserve"> </v>
      </c>
    </row>
    <row r="181" spans="3:14">
      <c r="C181" s="1806">
        <v>1901001</v>
      </c>
      <c r="D181" s="805" t="s">
        <v>337</v>
      </c>
      <c r="E181" s="795">
        <v>7048</v>
      </c>
      <c r="F181" s="778"/>
      <c r="G181" s="777" t="s">
        <v>1738</v>
      </c>
      <c r="H181" s="2443">
        <v>853097.75</v>
      </c>
      <c r="I181" s="780" t="s">
        <v>291</v>
      </c>
      <c r="J181" s="781">
        <f t="shared" si="23"/>
        <v>853097.75</v>
      </c>
      <c r="K181" s="761" t="str">
        <f t="shared" si="24"/>
        <v xml:space="preserve"> </v>
      </c>
      <c r="L181" s="761" t="str">
        <f t="shared" si="25"/>
        <v xml:space="preserve"> </v>
      </c>
      <c r="M181" s="781" t="str">
        <f t="shared" si="26"/>
        <v xml:space="preserve"> </v>
      </c>
      <c r="N181" s="781" t="str">
        <f t="shared" si="27"/>
        <v xml:space="preserve"> </v>
      </c>
    </row>
    <row r="182" spans="3:14">
      <c r="C182" s="1806">
        <v>1901001</v>
      </c>
      <c r="D182" s="805"/>
      <c r="E182" s="795">
        <v>7052</v>
      </c>
      <c r="F182" s="778"/>
      <c r="G182" s="777" t="s">
        <v>1739</v>
      </c>
      <c r="H182" s="2443">
        <v>1792902.55</v>
      </c>
      <c r="I182" s="780" t="s">
        <v>291</v>
      </c>
      <c r="J182" s="781"/>
      <c r="K182" s="761"/>
      <c r="L182" s="761"/>
      <c r="M182" s="781"/>
      <c r="N182" s="781">
        <f>H182</f>
        <v>1792902.55</v>
      </c>
    </row>
    <row r="183" spans="3:14">
      <c r="C183" s="1806">
        <v>1901001</v>
      </c>
      <c r="D183" s="805"/>
      <c r="E183" s="795">
        <v>7053</v>
      </c>
      <c r="F183" s="778"/>
      <c r="G183" s="777" t="s">
        <v>1740</v>
      </c>
      <c r="H183" s="2443">
        <v>30244.54</v>
      </c>
      <c r="I183" s="780" t="s">
        <v>291</v>
      </c>
      <c r="J183" s="781">
        <f>H183</f>
        <v>30244.54</v>
      </c>
      <c r="K183" s="761"/>
      <c r="L183" s="761"/>
      <c r="M183" s="781"/>
      <c r="N183" s="781"/>
    </row>
    <row r="184" spans="3:14">
      <c r="C184" s="1806">
        <v>1901001</v>
      </c>
      <c r="D184" s="805" t="s">
        <v>337</v>
      </c>
      <c r="E184" s="795">
        <v>7054</v>
      </c>
      <c r="F184" s="778"/>
      <c r="G184" s="777" t="s">
        <v>1741</v>
      </c>
      <c r="H184" s="2443">
        <v>-271948.78999999998</v>
      </c>
      <c r="I184" s="780" t="s">
        <v>291</v>
      </c>
      <c r="J184" s="781">
        <f t="shared" si="23"/>
        <v>-271948.78999999998</v>
      </c>
      <c r="K184" s="761" t="str">
        <f t="shared" si="24"/>
        <v xml:space="preserve"> </v>
      </c>
      <c r="L184" s="761" t="str">
        <f t="shared" si="25"/>
        <v xml:space="preserve"> </v>
      </c>
      <c r="M184" s="781" t="str">
        <f t="shared" si="26"/>
        <v xml:space="preserve"> </v>
      </c>
      <c r="N184" s="781" t="str">
        <f t="shared" si="27"/>
        <v xml:space="preserve"> </v>
      </c>
    </row>
    <row r="185" spans="3:14">
      <c r="C185" s="1806">
        <v>1901001</v>
      </c>
      <c r="D185" s="805" t="s">
        <v>337</v>
      </c>
      <c r="E185" s="795">
        <v>7055</v>
      </c>
      <c r="F185" s="778"/>
      <c r="G185" s="777" t="s">
        <v>1742</v>
      </c>
      <c r="H185" s="2443">
        <v>117493.02</v>
      </c>
      <c r="I185" s="780" t="s">
        <v>291</v>
      </c>
      <c r="J185" s="781">
        <f t="shared" si="23"/>
        <v>117493.02</v>
      </c>
      <c r="K185" s="761" t="str">
        <f t="shared" si="24"/>
        <v xml:space="preserve"> </v>
      </c>
      <c r="L185" s="761" t="str">
        <f t="shared" si="25"/>
        <v xml:space="preserve"> </v>
      </c>
      <c r="M185" s="781" t="str">
        <f t="shared" si="26"/>
        <v xml:space="preserve"> </v>
      </c>
      <c r="N185" s="781" t="str">
        <f t="shared" si="27"/>
        <v xml:space="preserve"> </v>
      </c>
    </row>
    <row r="186" spans="3:14">
      <c r="C186" s="1806">
        <v>1901001</v>
      </c>
      <c r="D186" s="805" t="s">
        <v>337</v>
      </c>
      <c r="E186" s="795">
        <v>7083</v>
      </c>
      <c r="F186" s="778"/>
      <c r="G186" s="777" t="s">
        <v>1743</v>
      </c>
      <c r="H186" s="2443">
        <v>65328.2</v>
      </c>
      <c r="I186" s="780" t="s">
        <v>291</v>
      </c>
      <c r="J186" s="781">
        <f t="shared" si="23"/>
        <v>65328.2</v>
      </c>
      <c r="K186" s="761" t="str">
        <f t="shared" si="24"/>
        <v xml:space="preserve"> </v>
      </c>
      <c r="L186" s="761" t="str">
        <f t="shared" si="25"/>
        <v xml:space="preserve"> </v>
      </c>
      <c r="M186" s="781" t="str">
        <f t="shared" si="26"/>
        <v xml:space="preserve"> </v>
      </c>
      <c r="N186" s="781" t="str">
        <f t="shared" si="27"/>
        <v xml:space="preserve"> </v>
      </c>
    </row>
    <row r="187" spans="3:14">
      <c r="C187" s="1806">
        <v>1901001</v>
      </c>
      <c r="D187" s="805" t="s">
        <v>337</v>
      </c>
      <c r="E187" s="795">
        <v>7085</v>
      </c>
      <c r="F187" s="778"/>
      <c r="G187" s="777" t="s">
        <v>1702</v>
      </c>
      <c r="H187" s="2443">
        <v>960497.42</v>
      </c>
      <c r="I187" s="780" t="s">
        <v>158</v>
      </c>
      <c r="J187" s="781" t="str">
        <f t="shared" si="23"/>
        <v xml:space="preserve"> </v>
      </c>
      <c r="K187" s="761" t="str">
        <f t="shared" si="24"/>
        <v xml:space="preserve"> </v>
      </c>
      <c r="L187" s="761">
        <f t="shared" si="25"/>
        <v>960497.42</v>
      </c>
      <c r="M187" s="781" t="str">
        <f t="shared" si="26"/>
        <v xml:space="preserve"> </v>
      </c>
      <c r="N187" s="781" t="str">
        <f t="shared" si="27"/>
        <v xml:space="preserve"> </v>
      </c>
    </row>
    <row r="188" spans="3:14">
      <c r="C188" s="1806">
        <v>1901001</v>
      </c>
      <c r="D188" s="805"/>
      <c r="E188" s="795">
        <v>7086</v>
      </c>
      <c r="F188" s="778"/>
      <c r="G188" s="777" t="s">
        <v>1703</v>
      </c>
      <c r="H188" s="2443">
        <v>4684.33</v>
      </c>
      <c r="I188" s="780" t="s">
        <v>291</v>
      </c>
      <c r="J188" s="781">
        <f t="shared" si="23"/>
        <v>4684.33</v>
      </c>
      <c r="K188" s="761" t="str">
        <f t="shared" si="24"/>
        <v xml:space="preserve"> </v>
      </c>
      <c r="L188" s="761" t="str">
        <f t="shared" si="25"/>
        <v xml:space="preserve"> </v>
      </c>
      <c r="M188" s="781" t="str">
        <f t="shared" si="26"/>
        <v xml:space="preserve"> </v>
      </c>
      <c r="N188" s="781" t="str">
        <f t="shared" si="27"/>
        <v xml:space="preserve"> </v>
      </c>
    </row>
    <row r="189" spans="3:14">
      <c r="C189" s="1806">
        <v>1901001</v>
      </c>
      <c r="D189" s="805" t="s">
        <v>337</v>
      </c>
      <c r="E189" s="795">
        <v>7103</v>
      </c>
      <c r="F189" s="778"/>
      <c r="G189" s="777" t="s">
        <v>1704</v>
      </c>
      <c r="H189" s="2443">
        <v>348.04</v>
      </c>
      <c r="I189" s="780" t="s">
        <v>291</v>
      </c>
      <c r="J189" s="781">
        <f t="shared" si="23"/>
        <v>348.04</v>
      </c>
      <c r="K189" s="761" t="str">
        <f t="shared" si="24"/>
        <v xml:space="preserve"> </v>
      </c>
      <c r="L189" s="761" t="str">
        <f t="shared" si="25"/>
        <v xml:space="preserve"> </v>
      </c>
      <c r="M189" s="781" t="str">
        <f t="shared" si="26"/>
        <v xml:space="preserve"> </v>
      </c>
      <c r="N189" s="781" t="str">
        <f t="shared" si="27"/>
        <v xml:space="preserve"> </v>
      </c>
    </row>
    <row r="190" spans="3:14">
      <c r="C190" s="1806">
        <v>1901001</v>
      </c>
      <c r="D190" s="805" t="s">
        <v>337</v>
      </c>
      <c r="E190" s="795">
        <v>7104</v>
      </c>
      <c r="F190" s="778"/>
      <c r="G190" s="777" t="s">
        <v>1744</v>
      </c>
      <c r="H190" s="2443">
        <v>208657.69</v>
      </c>
      <c r="I190" s="780" t="s">
        <v>291</v>
      </c>
      <c r="J190" s="781">
        <f t="shared" ref="J190" si="30">IF(I190="e",H190," ")</f>
        <v>208657.69</v>
      </c>
      <c r="K190" s="761" t="str">
        <f t="shared" si="24"/>
        <v xml:space="preserve"> </v>
      </c>
      <c r="L190" s="761" t="str">
        <f t="shared" si="25"/>
        <v xml:space="preserve"> </v>
      </c>
      <c r="M190" s="781" t="str">
        <f t="shared" si="26"/>
        <v xml:space="preserve"> </v>
      </c>
      <c r="N190" s="781" t="str">
        <f t="shared" ref="N190" si="31">IF(I190="Labor",H190," ")</f>
        <v xml:space="preserve"> </v>
      </c>
    </row>
    <row r="191" spans="3:14">
      <c r="C191" s="1806">
        <v>1901001</v>
      </c>
      <c r="D191" s="805" t="s">
        <v>337</v>
      </c>
      <c r="E191" s="795">
        <v>7110</v>
      </c>
      <c r="F191" s="778"/>
      <c r="G191" s="777" t="s">
        <v>1745</v>
      </c>
      <c r="H191" s="2443">
        <v>-6003088.9000000004</v>
      </c>
      <c r="I191" s="780" t="s">
        <v>291</v>
      </c>
      <c r="J191" s="781">
        <f t="shared" si="23"/>
        <v>-6003088.9000000004</v>
      </c>
      <c r="K191" s="761" t="str">
        <f t="shared" si="24"/>
        <v xml:space="preserve"> </v>
      </c>
      <c r="L191" s="761" t="str">
        <f t="shared" si="25"/>
        <v xml:space="preserve"> </v>
      </c>
      <c r="M191" s="781" t="str">
        <f t="shared" si="26"/>
        <v xml:space="preserve"> </v>
      </c>
      <c r="N191" s="781" t="str">
        <f t="shared" si="27"/>
        <v xml:space="preserve"> </v>
      </c>
    </row>
    <row r="192" spans="3:14">
      <c r="C192" s="1806">
        <v>1901001</v>
      </c>
      <c r="D192" s="805" t="s">
        <v>337</v>
      </c>
      <c r="E192" s="795">
        <v>7137</v>
      </c>
      <c r="F192" s="778"/>
      <c r="G192" s="777" t="s">
        <v>1705</v>
      </c>
      <c r="H192" s="2443">
        <v>390406.8</v>
      </c>
      <c r="I192" s="780" t="s">
        <v>291</v>
      </c>
      <c r="J192" s="781">
        <f t="shared" si="23"/>
        <v>390406.8</v>
      </c>
      <c r="K192" s="761" t="str">
        <f t="shared" si="24"/>
        <v xml:space="preserve"> </v>
      </c>
      <c r="L192" s="761" t="str">
        <f t="shared" si="25"/>
        <v xml:space="preserve"> </v>
      </c>
      <c r="M192" s="781" t="str">
        <f t="shared" si="26"/>
        <v xml:space="preserve"> </v>
      </c>
      <c r="N192" s="781" t="str">
        <f t="shared" si="27"/>
        <v xml:space="preserve"> </v>
      </c>
    </row>
    <row r="193" spans="3:14">
      <c r="C193" s="1806">
        <v>1901001</v>
      </c>
      <c r="D193" s="805" t="s">
        <v>337</v>
      </c>
      <c r="E193" s="795">
        <v>7138</v>
      </c>
      <c r="F193" s="778"/>
      <c r="G193" s="777" t="s">
        <v>1706</v>
      </c>
      <c r="H193" s="2443">
        <v>745.07</v>
      </c>
      <c r="I193" s="780" t="s">
        <v>291</v>
      </c>
      <c r="J193" s="781">
        <f t="shared" si="23"/>
        <v>745.07</v>
      </c>
      <c r="K193" s="761" t="str">
        <f t="shared" si="24"/>
        <v xml:space="preserve"> </v>
      </c>
      <c r="L193" s="761" t="str">
        <f t="shared" si="25"/>
        <v xml:space="preserve"> </v>
      </c>
      <c r="M193" s="781" t="str">
        <f t="shared" si="26"/>
        <v xml:space="preserve"> </v>
      </c>
      <c r="N193" s="781" t="str">
        <f t="shared" si="27"/>
        <v xml:space="preserve"> </v>
      </c>
    </row>
    <row r="194" spans="3:14">
      <c r="C194" s="1806">
        <v>1901001</v>
      </c>
      <c r="D194" s="805" t="s">
        <v>337</v>
      </c>
      <c r="E194" s="795">
        <v>7139</v>
      </c>
      <c r="F194" s="778"/>
      <c r="G194" s="777" t="s">
        <v>1707</v>
      </c>
      <c r="H194" s="2443">
        <v>133006.56</v>
      </c>
      <c r="I194" s="780" t="s">
        <v>291</v>
      </c>
      <c r="J194" s="781">
        <f t="shared" si="23"/>
        <v>133006.56</v>
      </c>
      <c r="K194" s="761" t="str">
        <f t="shared" si="24"/>
        <v xml:space="preserve"> </v>
      </c>
      <c r="L194" s="761" t="str">
        <f t="shared" si="25"/>
        <v xml:space="preserve"> </v>
      </c>
      <c r="M194" s="781" t="str">
        <f t="shared" si="26"/>
        <v xml:space="preserve"> </v>
      </c>
      <c r="N194" s="781" t="str">
        <f t="shared" si="27"/>
        <v xml:space="preserve"> </v>
      </c>
    </row>
    <row r="195" spans="3:14">
      <c r="C195" s="1806">
        <v>1901001</v>
      </c>
      <c r="D195" s="805"/>
      <c r="E195" s="795">
        <v>7141</v>
      </c>
      <c r="F195" s="778"/>
      <c r="G195" s="777" t="s">
        <v>1708</v>
      </c>
      <c r="H195" s="2443">
        <v>25219.17</v>
      </c>
      <c r="I195" s="780" t="s">
        <v>291</v>
      </c>
      <c r="J195" s="781">
        <f t="shared" si="23"/>
        <v>25219.17</v>
      </c>
      <c r="K195" s="761" t="str">
        <f t="shared" si="24"/>
        <v xml:space="preserve"> </v>
      </c>
      <c r="L195" s="761" t="str">
        <f t="shared" si="25"/>
        <v xml:space="preserve"> </v>
      </c>
      <c r="M195" s="781" t="str">
        <f t="shared" si="26"/>
        <v xml:space="preserve"> </v>
      </c>
      <c r="N195" s="781" t="str">
        <f t="shared" si="27"/>
        <v xml:space="preserve"> </v>
      </c>
    </row>
    <row r="196" spans="3:14">
      <c r="C196" s="1806">
        <v>1901001</v>
      </c>
      <c r="D196" s="805"/>
      <c r="E196" s="795">
        <v>7175</v>
      </c>
      <c r="F196" s="778"/>
      <c r="G196" s="777" t="s">
        <v>1709</v>
      </c>
      <c r="H196" s="2443">
        <v>556689.12</v>
      </c>
      <c r="I196" s="780" t="s">
        <v>291</v>
      </c>
      <c r="J196" s="781">
        <f>H196</f>
        <v>556689.12</v>
      </c>
      <c r="K196" s="761"/>
      <c r="L196" s="761"/>
      <c r="M196" s="781"/>
      <c r="N196" s="781"/>
    </row>
    <row r="197" spans="3:14">
      <c r="C197" s="1806">
        <v>1901001</v>
      </c>
      <c r="D197" s="805"/>
      <c r="E197" s="795">
        <v>7176</v>
      </c>
      <c r="F197" s="778"/>
      <c r="G197" s="777" t="s">
        <v>1710</v>
      </c>
      <c r="H197" s="2443">
        <v>-438701.25</v>
      </c>
      <c r="I197" s="780" t="s">
        <v>291</v>
      </c>
      <c r="J197" s="781">
        <f>H197</f>
        <v>-438701.25</v>
      </c>
      <c r="K197" s="761"/>
      <c r="L197" s="761"/>
      <c r="M197" s="781"/>
      <c r="N197" s="781"/>
    </row>
    <row r="198" spans="3:14">
      <c r="C198" s="1806">
        <v>1901001</v>
      </c>
      <c r="D198" s="805"/>
      <c r="E198" s="795">
        <v>7378</v>
      </c>
      <c r="F198" s="778"/>
      <c r="G198" s="777" t="s">
        <v>1711</v>
      </c>
      <c r="H198" s="2443">
        <v>288742.62</v>
      </c>
      <c r="I198" s="780" t="s">
        <v>291</v>
      </c>
      <c r="J198" s="781">
        <f>H198</f>
        <v>288742.62</v>
      </c>
      <c r="K198" s="761"/>
      <c r="L198" s="761"/>
      <c r="M198" s="781"/>
      <c r="N198" s="781"/>
    </row>
    <row r="199" spans="3:14">
      <c r="C199" s="1806">
        <v>1901001</v>
      </c>
      <c r="D199" s="805"/>
      <c r="E199" s="795">
        <v>7379</v>
      </c>
      <c r="F199" s="778"/>
      <c r="G199" s="777" t="s">
        <v>1712</v>
      </c>
      <c r="H199" s="2443">
        <v>-100014.18</v>
      </c>
      <c r="I199" s="780" t="s">
        <v>291</v>
      </c>
      <c r="J199" s="781">
        <f>H199</f>
        <v>-100014.18</v>
      </c>
      <c r="K199" s="761"/>
      <c r="L199" s="761"/>
      <c r="M199" s="781"/>
      <c r="N199" s="781"/>
    </row>
    <row r="200" spans="3:14">
      <c r="C200" s="1806">
        <v>1901001</v>
      </c>
      <c r="D200" s="805" t="s">
        <v>337</v>
      </c>
      <c r="E200" s="795">
        <v>7389</v>
      </c>
      <c r="F200" s="778"/>
      <c r="G200" s="777" t="s">
        <v>1713</v>
      </c>
      <c r="H200" s="2443">
        <v>1080.3399999999999</v>
      </c>
      <c r="I200" s="780" t="s">
        <v>291</v>
      </c>
      <c r="J200" s="781">
        <f t="shared" si="23"/>
        <v>1080.3399999999999</v>
      </c>
      <c r="K200" s="761" t="str">
        <f t="shared" si="24"/>
        <v xml:space="preserve"> </v>
      </c>
      <c r="L200" s="761" t="str">
        <f t="shared" si="25"/>
        <v xml:space="preserve"> </v>
      </c>
      <c r="M200" s="781" t="str">
        <f t="shared" si="26"/>
        <v xml:space="preserve"> </v>
      </c>
      <c r="N200" s="781" t="str">
        <f t="shared" si="27"/>
        <v xml:space="preserve"> </v>
      </c>
    </row>
    <row r="201" spans="3:14">
      <c r="C201" s="1806">
        <v>1901001</v>
      </c>
      <c r="D201" s="805"/>
      <c r="E201" s="795">
        <v>7394</v>
      </c>
      <c r="F201" s="778"/>
      <c r="G201" s="777" t="s">
        <v>1714</v>
      </c>
      <c r="H201" s="2443">
        <v>524.09</v>
      </c>
      <c r="I201" s="780" t="s">
        <v>291</v>
      </c>
      <c r="J201" s="781">
        <f t="shared" si="23"/>
        <v>524.09</v>
      </c>
      <c r="K201" s="761" t="str">
        <f t="shared" si="24"/>
        <v xml:space="preserve"> </v>
      </c>
      <c r="L201" s="761" t="str">
        <f t="shared" si="25"/>
        <v xml:space="preserve"> </v>
      </c>
      <c r="M201" s="781" t="str">
        <f t="shared" si="26"/>
        <v xml:space="preserve"> </v>
      </c>
      <c r="N201" s="781" t="str">
        <f t="shared" si="27"/>
        <v xml:space="preserve"> </v>
      </c>
    </row>
    <row r="202" spans="3:14">
      <c r="C202" s="1806">
        <v>1901001</v>
      </c>
      <c r="D202" s="805"/>
      <c r="E202" s="795">
        <v>7401</v>
      </c>
      <c r="F202" s="778"/>
      <c r="G202" s="777" t="s">
        <v>1715</v>
      </c>
      <c r="H202" s="2443">
        <v>500845.3</v>
      </c>
      <c r="I202" s="780" t="s">
        <v>291</v>
      </c>
      <c r="J202" s="781">
        <f>H202</f>
        <v>500845.3</v>
      </c>
      <c r="K202" s="761"/>
      <c r="L202" s="761"/>
      <c r="M202" s="781"/>
      <c r="N202" s="781"/>
    </row>
    <row r="203" spans="3:14">
      <c r="C203" s="1806">
        <v>1901001</v>
      </c>
      <c r="D203" s="805"/>
      <c r="E203" s="795">
        <v>7414</v>
      </c>
      <c r="F203" s="778"/>
      <c r="G203" s="777" t="s">
        <v>1716</v>
      </c>
      <c r="H203" s="2443">
        <v>21865.66</v>
      </c>
      <c r="I203" s="780" t="s">
        <v>291</v>
      </c>
      <c r="J203" s="781">
        <f t="shared" si="23"/>
        <v>21865.66</v>
      </c>
      <c r="K203" s="761" t="str">
        <f t="shared" si="24"/>
        <v xml:space="preserve"> </v>
      </c>
      <c r="L203" s="761" t="str">
        <f t="shared" si="25"/>
        <v xml:space="preserve"> </v>
      </c>
      <c r="M203" s="781" t="str">
        <f t="shared" si="26"/>
        <v xml:space="preserve"> </v>
      </c>
      <c r="N203" s="781" t="str">
        <f t="shared" si="27"/>
        <v xml:space="preserve"> </v>
      </c>
    </row>
    <row r="204" spans="3:14">
      <c r="C204" s="1806">
        <v>1901001</v>
      </c>
      <c r="D204" s="805" t="s">
        <v>337</v>
      </c>
      <c r="E204" s="795">
        <v>7443</v>
      </c>
      <c r="F204" s="778"/>
      <c r="G204" s="777" t="s">
        <v>1717</v>
      </c>
      <c r="H204" s="2443">
        <v>-9312.24</v>
      </c>
      <c r="I204" s="780" t="s">
        <v>291</v>
      </c>
      <c r="J204" s="781">
        <f t="shared" si="23"/>
        <v>-9312.24</v>
      </c>
      <c r="K204" s="761" t="str">
        <f t="shared" si="24"/>
        <v xml:space="preserve"> </v>
      </c>
      <c r="L204" s="761" t="str">
        <f t="shared" si="25"/>
        <v xml:space="preserve"> </v>
      </c>
      <c r="M204" s="781" t="str">
        <f t="shared" si="26"/>
        <v xml:space="preserve"> </v>
      </c>
      <c r="N204" s="781" t="str">
        <f t="shared" si="27"/>
        <v xml:space="preserve"> </v>
      </c>
    </row>
    <row r="205" spans="3:14">
      <c r="C205" s="1806">
        <v>1901001</v>
      </c>
      <c r="D205" s="805"/>
      <c r="E205" s="795">
        <v>7446</v>
      </c>
      <c r="F205" s="778"/>
      <c r="G205" s="777" t="s">
        <v>1718</v>
      </c>
      <c r="H205" s="2443">
        <v>22032.76</v>
      </c>
      <c r="I205" s="780" t="s">
        <v>291</v>
      </c>
      <c r="J205" s="781">
        <f>H205</f>
        <v>22032.76</v>
      </c>
      <c r="K205" s="761"/>
      <c r="L205" s="761"/>
      <c r="M205" s="781"/>
      <c r="N205" s="781"/>
    </row>
    <row r="206" spans="3:14">
      <c r="C206" s="1806">
        <v>1901001</v>
      </c>
      <c r="D206" s="805"/>
      <c r="E206" s="795">
        <v>7463</v>
      </c>
      <c r="F206" s="778"/>
      <c r="G206" s="777" t="s">
        <v>1746</v>
      </c>
      <c r="H206" s="2443">
        <v>-1128022.5</v>
      </c>
      <c r="I206" s="780" t="s">
        <v>291</v>
      </c>
      <c r="J206" s="781">
        <f>H206</f>
        <v>-1128022.5</v>
      </c>
      <c r="K206" s="761"/>
      <c r="L206" s="761"/>
      <c r="M206" s="781"/>
      <c r="N206" s="781"/>
    </row>
    <row r="207" spans="3:14">
      <c r="C207" s="1806">
        <v>1901001</v>
      </c>
      <c r="D207" s="805"/>
      <c r="E207" s="795">
        <v>7488</v>
      </c>
      <c r="F207" s="778"/>
      <c r="G207" s="777" t="s">
        <v>1719</v>
      </c>
      <c r="H207" s="2443">
        <v>206412.57</v>
      </c>
      <c r="I207" s="780" t="s">
        <v>291</v>
      </c>
      <c r="J207" s="781">
        <f t="shared" ref="J207:J218" si="32">H207</f>
        <v>206412.57</v>
      </c>
      <c r="K207" s="761"/>
      <c r="L207" s="761"/>
      <c r="M207" s="781"/>
      <c r="N207" s="781"/>
    </row>
    <row r="208" spans="3:14">
      <c r="C208" s="1806">
        <v>1901001</v>
      </c>
      <c r="D208" s="805"/>
      <c r="E208" s="795">
        <v>7489</v>
      </c>
      <c r="F208" s="778"/>
      <c r="G208" s="777" t="s">
        <v>1720</v>
      </c>
      <c r="H208" s="2443">
        <v>-206412.57</v>
      </c>
      <c r="I208" s="780" t="s">
        <v>291</v>
      </c>
      <c r="J208" s="781">
        <f t="shared" si="32"/>
        <v>-206412.57</v>
      </c>
      <c r="K208" s="761"/>
      <c r="L208" s="761"/>
      <c r="M208" s="781"/>
      <c r="N208" s="781"/>
    </row>
    <row r="209" spans="3:14">
      <c r="C209" s="1806">
        <v>1901001</v>
      </c>
      <c r="D209" s="805"/>
      <c r="E209" s="795">
        <v>7491</v>
      </c>
      <c r="F209" s="778"/>
      <c r="G209" s="777" t="s">
        <v>1721</v>
      </c>
      <c r="H209" s="2443">
        <v>251483.21</v>
      </c>
      <c r="I209" s="780" t="s">
        <v>291</v>
      </c>
      <c r="J209" s="781">
        <f t="shared" si="32"/>
        <v>251483.21</v>
      </c>
      <c r="K209" s="761"/>
      <c r="L209" s="761"/>
      <c r="M209" s="781"/>
      <c r="N209" s="781"/>
    </row>
    <row r="210" spans="3:14">
      <c r="C210" s="1806">
        <v>1901001</v>
      </c>
      <c r="D210" s="805" t="s">
        <v>337</v>
      </c>
      <c r="E210" s="795">
        <v>7559</v>
      </c>
      <c r="F210" s="778"/>
      <c r="G210" s="777" t="s">
        <v>1722</v>
      </c>
      <c r="H210" s="2443">
        <v>3363.54</v>
      </c>
      <c r="I210" s="780" t="s">
        <v>291</v>
      </c>
      <c r="J210" s="781">
        <f t="shared" si="32"/>
        <v>3363.54</v>
      </c>
      <c r="K210" s="761" t="str">
        <f t="shared" si="24"/>
        <v xml:space="preserve"> </v>
      </c>
      <c r="L210" s="761" t="str">
        <f t="shared" si="25"/>
        <v xml:space="preserve"> </v>
      </c>
      <c r="M210" s="781" t="str">
        <f t="shared" si="26"/>
        <v xml:space="preserve"> </v>
      </c>
      <c r="N210" s="781" t="str">
        <f t="shared" si="27"/>
        <v xml:space="preserve"> </v>
      </c>
    </row>
    <row r="211" spans="3:14">
      <c r="C211" s="1806">
        <v>1901001</v>
      </c>
      <c r="D211" s="805"/>
      <c r="E211" s="795">
        <v>7571</v>
      </c>
      <c r="F211" s="778"/>
      <c r="G211" s="777" t="s">
        <v>1723</v>
      </c>
      <c r="H211" s="2443">
        <v>40047.589999999997</v>
      </c>
      <c r="I211" s="780" t="s">
        <v>158</v>
      </c>
      <c r="J211" s="781"/>
      <c r="K211" s="761"/>
      <c r="L211" s="761">
        <f>H211</f>
        <v>40047.589999999997</v>
      </c>
      <c r="M211" s="781"/>
      <c r="N211" s="781"/>
    </row>
    <row r="212" spans="3:14">
      <c r="C212" s="1806">
        <v>1901001</v>
      </c>
      <c r="D212" s="805"/>
      <c r="E212" s="795">
        <v>7575</v>
      </c>
      <c r="F212" s="778"/>
      <c r="G212" s="777" t="s">
        <v>1724</v>
      </c>
      <c r="H212" s="2443">
        <v>393727.51</v>
      </c>
      <c r="I212" s="780" t="s">
        <v>300</v>
      </c>
      <c r="J212" s="781"/>
      <c r="K212" s="761"/>
      <c r="L212" s="761"/>
      <c r="M212" s="781"/>
      <c r="N212" s="781">
        <f>H212</f>
        <v>393727.51</v>
      </c>
    </row>
    <row r="213" spans="3:14">
      <c r="C213" s="1806">
        <v>1901001</v>
      </c>
      <c r="D213" s="805"/>
      <c r="E213" s="795">
        <v>7577</v>
      </c>
      <c r="F213" s="778"/>
      <c r="G213" s="777" t="s">
        <v>1747</v>
      </c>
      <c r="H213" s="2443">
        <v>3204171.48</v>
      </c>
      <c r="I213" s="780" t="s">
        <v>291</v>
      </c>
      <c r="J213" s="781">
        <f t="shared" si="32"/>
        <v>3204171.48</v>
      </c>
      <c r="K213" s="761"/>
      <c r="L213" s="761"/>
      <c r="M213" s="781"/>
      <c r="N213" s="781"/>
    </row>
    <row r="214" spans="3:14">
      <c r="C214" s="1806">
        <v>1901001</v>
      </c>
      <c r="D214" s="805"/>
      <c r="E214" s="795">
        <v>7580</v>
      </c>
      <c r="F214" s="778"/>
      <c r="G214" s="777" t="s">
        <v>1748</v>
      </c>
      <c r="H214" s="2443">
        <v>426417.54</v>
      </c>
      <c r="I214" s="780" t="s">
        <v>300</v>
      </c>
      <c r="J214" s="781"/>
      <c r="K214" s="761"/>
      <c r="L214" s="761"/>
      <c r="M214" s="781"/>
      <c r="N214" s="781">
        <f>H214</f>
        <v>426417.54</v>
      </c>
    </row>
    <row r="215" spans="3:14">
      <c r="C215" s="1806">
        <v>1901001</v>
      </c>
      <c r="D215" s="805"/>
      <c r="E215" s="795">
        <v>7581</v>
      </c>
      <c r="F215" s="778"/>
      <c r="G215" s="777" t="s">
        <v>1749</v>
      </c>
      <c r="H215" s="2443">
        <v>16972736.690000001</v>
      </c>
      <c r="I215" s="780" t="s">
        <v>291</v>
      </c>
      <c r="J215" s="781">
        <f t="shared" si="32"/>
        <v>16972736.690000001</v>
      </c>
      <c r="K215" s="761"/>
      <c r="L215" s="761"/>
      <c r="M215" s="781"/>
      <c r="N215" s="781"/>
    </row>
    <row r="216" spans="3:14">
      <c r="C216" s="1806">
        <v>1901001</v>
      </c>
      <c r="D216" s="805"/>
      <c r="E216" s="795">
        <v>7583</v>
      </c>
      <c r="F216" s="778"/>
      <c r="G216" s="777" t="s">
        <v>1725</v>
      </c>
      <c r="H216" s="2443">
        <v>4100.45</v>
      </c>
      <c r="I216" s="780" t="s">
        <v>291</v>
      </c>
      <c r="J216" s="781">
        <f t="shared" si="32"/>
        <v>4100.45</v>
      </c>
      <c r="K216" s="761"/>
      <c r="L216" s="761"/>
      <c r="M216" s="781"/>
      <c r="N216" s="781"/>
    </row>
    <row r="217" spans="3:14">
      <c r="C217" s="1806">
        <v>1901001</v>
      </c>
      <c r="D217" s="805"/>
      <c r="E217" s="795">
        <v>7584</v>
      </c>
      <c r="F217" s="778"/>
      <c r="G217" s="777" t="s">
        <v>1750</v>
      </c>
      <c r="H217" s="2443">
        <v>23566327.640000001</v>
      </c>
      <c r="I217" s="780" t="s">
        <v>291</v>
      </c>
      <c r="J217" s="781">
        <f t="shared" si="32"/>
        <v>23566327.640000001</v>
      </c>
      <c r="K217" s="761"/>
      <c r="L217" s="761"/>
      <c r="M217" s="781"/>
      <c r="N217" s="781"/>
    </row>
    <row r="218" spans="3:14">
      <c r="C218" s="1806">
        <v>1901001</v>
      </c>
      <c r="D218" s="805"/>
      <c r="E218" s="795">
        <v>7585</v>
      </c>
      <c r="F218" s="778"/>
      <c r="G218" s="777" t="s">
        <v>1690</v>
      </c>
      <c r="H218" s="2443">
        <v>943795.42</v>
      </c>
      <c r="I218" s="780" t="s">
        <v>291</v>
      </c>
      <c r="J218" s="781">
        <f t="shared" si="32"/>
        <v>943795.42</v>
      </c>
      <c r="K218" s="761"/>
      <c r="L218" s="761"/>
      <c r="M218" s="781"/>
      <c r="N218" s="781"/>
    </row>
    <row r="219" spans="3:14">
      <c r="C219" s="1806">
        <v>1901001</v>
      </c>
      <c r="D219" s="805"/>
      <c r="E219" s="795">
        <v>8016</v>
      </c>
      <c r="F219" s="778"/>
      <c r="G219" s="777" t="s">
        <v>1751</v>
      </c>
      <c r="H219" s="2443">
        <v>265228.02</v>
      </c>
      <c r="I219" s="780" t="s">
        <v>291</v>
      </c>
      <c r="J219" s="781">
        <f t="shared" ref="J219:J222" si="33">H219</f>
        <v>265228.02</v>
      </c>
      <c r="K219" s="761"/>
      <c r="L219" s="761"/>
      <c r="M219" s="781"/>
      <c r="N219" s="781"/>
    </row>
    <row r="220" spans="3:14">
      <c r="C220" s="1806">
        <v>1901001</v>
      </c>
      <c r="D220" s="805"/>
      <c r="E220" s="795">
        <v>8018</v>
      </c>
      <c r="F220" s="778"/>
      <c r="G220" s="777" t="s">
        <v>1752</v>
      </c>
      <c r="H220" s="2443">
        <v>-11660.28</v>
      </c>
      <c r="I220" s="780" t="s">
        <v>291</v>
      </c>
      <c r="J220" s="781">
        <f t="shared" si="33"/>
        <v>-11660.28</v>
      </c>
      <c r="K220" s="761"/>
      <c r="L220" s="761"/>
      <c r="M220" s="781"/>
      <c r="N220" s="781"/>
    </row>
    <row r="221" spans="3:14">
      <c r="C221" s="1806">
        <v>1901001</v>
      </c>
      <c r="D221" s="805"/>
      <c r="E221" s="795">
        <v>8022</v>
      </c>
      <c r="F221" s="778"/>
      <c r="G221" s="777" t="s">
        <v>1753</v>
      </c>
      <c r="H221" s="2443">
        <v>-62065.22</v>
      </c>
      <c r="I221" s="780" t="s">
        <v>291</v>
      </c>
      <c r="J221" s="781">
        <f t="shared" si="33"/>
        <v>-62065.22</v>
      </c>
      <c r="K221" s="761"/>
      <c r="L221" s="761"/>
      <c r="M221" s="781"/>
      <c r="N221" s="781"/>
    </row>
    <row r="222" spans="3:14">
      <c r="C222" s="1806">
        <v>1901001</v>
      </c>
      <c r="D222" s="805"/>
      <c r="E222" s="795">
        <v>8023</v>
      </c>
      <c r="F222" s="778"/>
      <c r="G222" s="777" t="s">
        <v>1726</v>
      </c>
      <c r="H222" s="2443">
        <v>34578.42</v>
      </c>
      <c r="I222" s="780" t="s">
        <v>291</v>
      </c>
      <c r="J222" s="781">
        <f t="shared" si="33"/>
        <v>34578.42</v>
      </c>
      <c r="K222" s="761"/>
      <c r="L222" s="761"/>
      <c r="M222" s="781"/>
      <c r="N222" s="781"/>
    </row>
    <row r="223" spans="3:14">
      <c r="C223" s="1806">
        <v>1901001</v>
      </c>
      <c r="D223" s="805"/>
      <c r="E223" s="795">
        <v>8053</v>
      </c>
      <c r="F223" s="778"/>
      <c r="G223" s="777" t="s">
        <v>1727</v>
      </c>
      <c r="H223" s="2443">
        <v>-160041.4</v>
      </c>
      <c r="I223" s="780" t="s">
        <v>300</v>
      </c>
      <c r="J223" s="781"/>
      <c r="K223" s="761"/>
      <c r="L223" s="761"/>
      <c r="M223" s="781"/>
      <c r="N223" s="781">
        <f>H223</f>
        <v>-160041.4</v>
      </c>
    </row>
    <row r="224" spans="3:14">
      <c r="C224" s="1806">
        <v>1901001</v>
      </c>
      <c r="D224" s="805"/>
      <c r="E224" s="795">
        <v>8062</v>
      </c>
      <c r="F224" s="778"/>
      <c r="G224" s="777" t="s">
        <v>1754</v>
      </c>
      <c r="H224" s="2443">
        <v>35755.61</v>
      </c>
      <c r="I224" s="780" t="s">
        <v>300</v>
      </c>
      <c r="J224" s="781"/>
      <c r="K224" s="761"/>
      <c r="L224" s="761"/>
      <c r="M224" s="781"/>
      <c r="N224" s="781">
        <f>H224</f>
        <v>35755.61</v>
      </c>
    </row>
    <row r="225" spans="3:16">
      <c r="C225" s="1806">
        <v>1901001</v>
      </c>
      <c r="D225" s="805"/>
      <c r="E225" s="795" t="s">
        <v>1277</v>
      </c>
      <c r="F225" s="778"/>
      <c r="G225" s="777" t="s">
        <v>1285</v>
      </c>
      <c r="H225" s="2443">
        <v>189526152.97652441</v>
      </c>
      <c r="I225" s="780" t="s">
        <v>158</v>
      </c>
      <c r="J225" s="781" t="str">
        <f t="shared" ref="J225" si="34">IF(I225="e",H225," ")</f>
        <v xml:space="preserve"> </v>
      </c>
      <c r="K225" s="761" t="str">
        <f t="shared" si="24"/>
        <v xml:space="preserve"> </v>
      </c>
      <c r="L225" s="779">
        <f t="shared" si="25"/>
        <v>189526152.97652441</v>
      </c>
      <c r="M225" s="781" t="str">
        <f t="shared" si="26"/>
        <v xml:space="preserve"> </v>
      </c>
      <c r="N225" s="781" t="str">
        <f t="shared" ref="N225" si="35">IF(I225="Labor",H225," ")</f>
        <v xml:space="preserve"> </v>
      </c>
    </row>
    <row r="226" spans="3:16">
      <c r="C226" s="1806">
        <v>1901001</v>
      </c>
      <c r="D226" s="805"/>
      <c r="E226" s="795" t="s">
        <v>1277</v>
      </c>
      <c r="F226" s="778"/>
      <c r="G226" s="777" t="s">
        <v>1285</v>
      </c>
      <c r="H226" s="2443">
        <v>-189526152.97652441</v>
      </c>
      <c r="I226" s="780" t="s">
        <v>291</v>
      </c>
      <c r="J226" s="779">
        <f t="shared" ref="J226" si="36">IF(I226="e",H226," ")</f>
        <v>-189526152.97652441</v>
      </c>
      <c r="K226" s="761" t="str">
        <f t="shared" si="24"/>
        <v xml:space="preserve"> </v>
      </c>
      <c r="L226" s="761" t="str">
        <f t="shared" si="25"/>
        <v xml:space="preserve"> </v>
      </c>
      <c r="M226" s="781" t="str">
        <f t="shared" si="26"/>
        <v xml:space="preserve"> </v>
      </c>
      <c r="N226" s="781" t="str">
        <f t="shared" ref="N226" si="37">IF(I226="Labor",H226," ")</f>
        <v xml:space="preserve"> </v>
      </c>
    </row>
    <row r="227" spans="3:16">
      <c r="C227"/>
      <c r="D227"/>
      <c r="E227" s="1819"/>
      <c r="F227" s="778"/>
      <c r="G227" s="778"/>
      <c r="H227" s="2209"/>
      <c r="I227" s="806"/>
      <c r="J227" s="781" t="str">
        <f t="shared" ref="J227:J232" si="38">IF(I227="e",H227," ")</f>
        <v xml:space="preserve"> </v>
      </c>
      <c r="K227" s="761" t="str">
        <f t="shared" si="24"/>
        <v xml:space="preserve"> </v>
      </c>
      <c r="L227" s="761" t="str">
        <f t="shared" si="25"/>
        <v xml:space="preserve"> </v>
      </c>
      <c r="M227" s="781" t="str">
        <f t="shared" si="26"/>
        <v xml:space="preserve"> </v>
      </c>
      <c r="N227" s="781" t="str">
        <f t="shared" ref="N227:N232" si="39">IF(I227="Labor",H227," ")</f>
        <v xml:space="preserve"> </v>
      </c>
    </row>
    <row r="228" spans="3:16">
      <c r="C228" s="1806">
        <v>1901002</v>
      </c>
      <c r="D228"/>
      <c r="E228" s="795">
        <v>3508</v>
      </c>
      <c r="F228" s="778"/>
      <c r="G228" s="777" t="s">
        <v>1756</v>
      </c>
      <c r="H228" s="2443">
        <v>0</v>
      </c>
      <c r="I228" s="780" t="s">
        <v>291</v>
      </c>
      <c r="J228" s="781">
        <f t="shared" si="38"/>
        <v>0</v>
      </c>
      <c r="K228" s="761" t="str">
        <f t="shared" si="24"/>
        <v xml:space="preserve"> </v>
      </c>
      <c r="L228" s="761" t="str">
        <f t="shared" si="25"/>
        <v xml:space="preserve"> </v>
      </c>
      <c r="M228" s="781" t="str">
        <f t="shared" si="26"/>
        <v xml:space="preserve"> </v>
      </c>
      <c r="N228" s="781" t="str">
        <f t="shared" si="39"/>
        <v xml:space="preserve"> </v>
      </c>
    </row>
    <row r="229" spans="3:16">
      <c r="C229" s="1806">
        <v>1901002</v>
      </c>
      <c r="D229" s="805"/>
      <c r="E229" s="795">
        <v>3509</v>
      </c>
      <c r="F229" s="778"/>
      <c r="G229" s="777" t="s">
        <v>1697</v>
      </c>
      <c r="H229" s="2443">
        <v>39723084.289999999</v>
      </c>
      <c r="I229" s="780" t="s">
        <v>291</v>
      </c>
      <c r="J229" s="781">
        <f t="shared" ref="J229:J230" si="40">IF(I229="e",H229," ")</f>
        <v>39723084.289999999</v>
      </c>
      <c r="K229" s="761" t="str">
        <f t="shared" si="24"/>
        <v xml:space="preserve"> </v>
      </c>
      <c r="L229" s="761" t="str">
        <f t="shared" si="25"/>
        <v xml:space="preserve"> </v>
      </c>
      <c r="M229" s="781" t="str">
        <f t="shared" si="26"/>
        <v xml:space="preserve"> </v>
      </c>
      <c r="N229" s="781" t="str">
        <f t="shared" ref="N229:N230" si="41">IF(I229="Labor",H229," ")</f>
        <v xml:space="preserve"> </v>
      </c>
    </row>
    <row r="230" spans="3:16">
      <c r="C230" s="1806">
        <v>1901002</v>
      </c>
      <c r="D230" s="805"/>
      <c r="E230" s="795">
        <v>4031</v>
      </c>
      <c r="F230" s="778"/>
      <c r="G230" s="777" t="s">
        <v>1698</v>
      </c>
      <c r="H230" s="2443">
        <v>31982849.609999999</v>
      </c>
      <c r="I230" s="780" t="s">
        <v>291</v>
      </c>
      <c r="J230" s="781">
        <f t="shared" si="40"/>
        <v>31982849.609999999</v>
      </c>
      <c r="K230" s="761" t="str">
        <f t="shared" si="24"/>
        <v xml:space="preserve"> </v>
      </c>
      <c r="L230" s="761" t="str">
        <f t="shared" si="25"/>
        <v xml:space="preserve"> </v>
      </c>
      <c r="M230" s="781" t="str">
        <f t="shared" si="26"/>
        <v xml:space="preserve"> </v>
      </c>
      <c r="N230" s="781" t="str">
        <f t="shared" si="41"/>
        <v xml:space="preserve"> </v>
      </c>
    </row>
    <row r="231" spans="3:16">
      <c r="C231" s="1806">
        <v>1901002</v>
      </c>
      <c r="D231" s="783"/>
      <c r="E231" s="795"/>
      <c r="F231" s="778"/>
      <c r="G231" s="777"/>
      <c r="H231" s="2207"/>
      <c r="I231" s="780"/>
      <c r="J231" s="781" t="str">
        <f t="shared" ref="J231" si="42">IF(I231="e",H231," ")</f>
        <v xml:space="preserve"> </v>
      </c>
      <c r="K231" s="761" t="str">
        <f t="shared" si="24"/>
        <v xml:space="preserve"> </v>
      </c>
      <c r="L231" s="761" t="str">
        <f t="shared" si="25"/>
        <v xml:space="preserve"> </v>
      </c>
      <c r="M231" s="781" t="str">
        <f t="shared" si="26"/>
        <v xml:space="preserve"> </v>
      </c>
      <c r="N231" s="781" t="str">
        <f t="shared" ref="N231" si="43">IF(I231="Labor",H231," ")</f>
        <v xml:space="preserve"> </v>
      </c>
    </row>
    <row r="232" spans="3:16">
      <c r="C232" s="785"/>
      <c r="D232" s="783"/>
      <c r="E232" s="785"/>
      <c r="F232" s="778"/>
      <c r="G232" s="785"/>
      <c r="H232" s="712"/>
      <c r="I232" s="784"/>
      <c r="J232" s="781" t="str">
        <f t="shared" si="38"/>
        <v xml:space="preserve"> </v>
      </c>
      <c r="K232" s="761" t="str">
        <f t="shared" si="24"/>
        <v xml:space="preserve"> </v>
      </c>
      <c r="L232" s="761" t="str">
        <f t="shared" si="25"/>
        <v xml:space="preserve"> </v>
      </c>
      <c r="M232" s="781" t="str">
        <f t="shared" si="26"/>
        <v xml:space="preserve"> </v>
      </c>
      <c r="N232" s="781" t="str">
        <f t="shared" si="39"/>
        <v xml:space="preserve"> </v>
      </c>
    </row>
    <row r="233" spans="3:16">
      <c r="C233" s="809"/>
      <c r="J233" s="804"/>
    </row>
    <row r="234" spans="3:16" ht="13">
      <c r="C234" s="33">
        <v>190.1</v>
      </c>
      <c r="D234" s="12"/>
      <c r="G234" s="561" t="s">
        <v>159</v>
      </c>
      <c r="H234" s="2208">
        <f>SUM(H152:H233)</f>
        <v>192021953.25</v>
      </c>
      <c r="I234" s="761"/>
      <c r="J234" s="801">
        <f>SUM(J152:J233)</f>
        <v>-33485052.696524419</v>
      </c>
      <c r="K234" s="801">
        <f>SUM(K152:K233)</f>
        <v>0</v>
      </c>
      <c r="L234" s="801">
        <f>SUM(L152:L233)</f>
        <v>222992397.43652442</v>
      </c>
      <c r="M234" s="801">
        <f>SUM(M152:M233)</f>
        <v>0</v>
      </c>
      <c r="N234" s="801">
        <f>SUM(N152:N233)</f>
        <v>2514608.5099999998</v>
      </c>
      <c r="O234" s="782">
        <f>SUM(J234:N234)</f>
        <v>192021953.25</v>
      </c>
      <c r="P234" s="804">
        <f>H234-O234</f>
        <v>0</v>
      </c>
    </row>
    <row r="235" spans="3:16">
      <c r="G235" s="791" t="s">
        <v>129</v>
      </c>
      <c r="H235" s="712">
        <v>192021953</v>
      </c>
      <c r="I235" s="466"/>
      <c r="J235" s="792"/>
    </row>
    <row r="236" spans="3:16">
      <c r="G236" s="791"/>
      <c r="H236" s="2210"/>
    </row>
    <row r="237" spans="3:16" ht="33" customHeight="1">
      <c r="C237" s="2293"/>
      <c r="D237" s="2293"/>
      <c r="E237" s="2293"/>
      <c r="F237" s="2293"/>
      <c r="G237" s="2293"/>
      <c r="H237" s="2293"/>
      <c r="I237" s="2293"/>
      <c r="J237" s="2293"/>
      <c r="K237" s="2293"/>
      <c r="L237" s="2293"/>
      <c r="M237" s="2293"/>
      <c r="N237" s="2293"/>
    </row>
    <row r="240" spans="3:16">
      <c r="J240" s="804"/>
    </row>
    <row r="257" spans="4:8">
      <c r="D257" s="788"/>
      <c r="H257" s="811"/>
    </row>
    <row r="293" spans="4:6">
      <c r="D293" s="12"/>
      <c r="F293" s="770"/>
    </row>
    <row r="294" spans="4:6">
      <c r="D294" s="12"/>
    </row>
    <row r="295" spans="4:6">
      <c r="D295" s="12"/>
    </row>
    <row r="296" spans="4:6">
      <c r="D296" s="12"/>
    </row>
    <row r="297" spans="4:6">
      <c r="D297" s="12"/>
    </row>
    <row r="298" spans="4:6">
      <c r="D298" s="12"/>
    </row>
    <row r="299" spans="4:6">
      <c r="D299" s="12"/>
    </row>
    <row r="300" spans="4:6">
      <c r="D300" s="12"/>
    </row>
    <row r="301" spans="4:6">
      <c r="D301" s="12"/>
    </row>
    <row r="302" spans="4:6">
      <c r="D302" s="12"/>
    </row>
    <row r="303" spans="4:6">
      <c r="D303" s="12"/>
    </row>
    <row r="304" spans="4:6">
      <c r="D304" s="12"/>
    </row>
    <row r="305" spans="4:4">
      <c r="D305" s="12"/>
    </row>
    <row r="306" spans="4:4">
      <c r="D306" s="12"/>
    </row>
    <row r="307" spans="4:4">
      <c r="D307" s="12"/>
    </row>
    <row r="308" spans="4:4">
      <c r="D308" s="12"/>
    </row>
    <row r="309" spans="4:4">
      <c r="D309" s="12"/>
    </row>
    <row r="310" spans="4:4">
      <c r="D310" s="12"/>
    </row>
    <row r="311" spans="4:4">
      <c r="D311" s="12"/>
    </row>
    <row r="312" spans="4:4">
      <c r="D312" s="12"/>
    </row>
    <row r="313" spans="4:4">
      <c r="D313" s="12"/>
    </row>
    <row r="314" spans="4:4">
      <c r="D314" s="12"/>
    </row>
    <row r="315" spans="4:4">
      <c r="D315" s="12"/>
    </row>
    <row r="316" spans="4:4">
      <c r="D316" s="12"/>
    </row>
    <row r="317" spans="4:4">
      <c r="D317" s="12"/>
    </row>
    <row r="318" spans="4:4">
      <c r="D318" s="12"/>
    </row>
    <row r="319" spans="4:4">
      <c r="D319" s="12"/>
    </row>
    <row r="320" spans="4:4">
      <c r="D320" s="12"/>
    </row>
    <row r="321" spans="4:4">
      <c r="D321" s="12"/>
    </row>
    <row r="322" spans="4:4">
      <c r="D322" s="12"/>
    </row>
    <row r="323" spans="4:4">
      <c r="D323" s="12"/>
    </row>
    <row r="324" spans="4:4">
      <c r="D324" s="12"/>
    </row>
    <row r="325" spans="4:4">
      <c r="D325" s="12"/>
    </row>
    <row r="326" spans="4:4">
      <c r="D326" s="12"/>
    </row>
    <row r="327" spans="4:4">
      <c r="D327" s="12"/>
    </row>
    <row r="328" spans="4:4">
      <c r="D328" s="12"/>
    </row>
    <row r="329" spans="4:4">
      <c r="D329" s="788"/>
    </row>
    <row r="330" spans="4:4">
      <c r="D330" s="788"/>
    </row>
    <row r="331" spans="4:4">
      <c r="D331" s="788"/>
    </row>
    <row r="332" spans="4:4">
      <c r="D332" s="788"/>
    </row>
    <row r="333" spans="4:4">
      <c r="D333" s="788"/>
    </row>
    <row r="334" spans="4:4">
      <c r="D334" s="788"/>
    </row>
  </sheetData>
  <mergeCells count="6">
    <mergeCell ref="C3:N3"/>
    <mergeCell ref="C237:N237"/>
    <mergeCell ref="J8:N8"/>
    <mergeCell ref="C4:N4"/>
    <mergeCell ref="C5:N5"/>
    <mergeCell ref="C6:N6"/>
  </mergeCells>
  <phoneticPr fontId="0" type="noConversion"/>
  <conditionalFormatting sqref="O29:O31">
    <cfRule type="cellIs" dxfId="10" priority="1" stopIfTrue="1" operator="equal">
      <formula>FALSE</formula>
    </cfRule>
  </conditionalFormatting>
  <conditionalFormatting sqref="O147 O234">
    <cfRule type="cellIs" dxfId="9" priority="2" stopIfTrue="1" operator="equal">
      <formula>FALSE</formula>
    </cfRule>
  </conditionalFormatting>
  <printOptions horizontalCentered="1"/>
  <pageMargins left="0.25" right="0.25" top="1" bottom="0.25" header="0.65" footer="0.5"/>
  <pageSetup scale="52" fitToHeight="0" orientation="portrait" horizontalDpi="1200" verticalDpi="1200" r:id="rId1"/>
  <headerFooter alignWithMargins="0">
    <oddHeader xml:space="preserve">&amp;R&amp;18AEP - SPP Formula Rate
TCOS - WS-C-2
Page: &amp;P of &amp;N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IV63"/>
  <sheetViews>
    <sheetView topLeftCell="A27" zoomScale="90" zoomScaleNormal="90" zoomScaleSheetLayoutView="90" zoomScalePageLayoutView="90" workbookViewId="0">
      <selection activeCell="E20" sqref="E20"/>
    </sheetView>
  </sheetViews>
  <sheetFormatPr defaultColWidth="9.1796875" defaultRowHeight="12.5"/>
  <cols>
    <col min="1" max="1" width="9.1796875" style="12"/>
    <col min="2" max="2" width="33.54296875" style="12" customWidth="1"/>
    <col min="3" max="3" width="16" style="12" customWidth="1"/>
    <col min="4" max="4" width="16.81640625" style="12" customWidth="1"/>
    <col min="5" max="6" width="12" style="12" customWidth="1"/>
    <col min="7" max="7" width="15" style="12" customWidth="1"/>
    <col min="8" max="8" width="17.1796875" style="12" customWidth="1"/>
    <col min="9" max="9" width="16.54296875" style="12" customWidth="1"/>
    <col min="10" max="16384" width="9.1796875" style="12"/>
  </cols>
  <sheetData>
    <row r="1" spans="1:256" ht="15.5">
      <c r="A1" s="206"/>
    </row>
    <row r="3" spans="1:256" ht="18" customHeight="1">
      <c r="A3" s="2292" t="str">
        <f>+'PSO TCOS'!F4</f>
        <v xml:space="preserve">AEP West SPP Member Operating Companies </v>
      </c>
      <c r="B3" s="2292"/>
      <c r="C3" s="2292"/>
      <c r="D3" s="2292"/>
      <c r="E3" s="2292"/>
      <c r="F3" s="2292"/>
      <c r="G3" s="2292"/>
      <c r="H3" s="2292"/>
      <c r="I3" s="2292"/>
      <c r="J3" s="814"/>
      <c r="K3" s="814"/>
      <c r="L3" s="814"/>
    </row>
    <row r="4" spans="1:256" ht="17.5">
      <c r="A4" s="2299" t="str">
        <f>+'PSO TCOS'!F8</f>
        <v>PUBLIC SERVICE COMPANY OF OKLAHOMA</v>
      </c>
      <c r="B4" s="2299"/>
      <c r="C4" s="2299"/>
      <c r="D4" s="2299"/>
      <c r="E4" s="2299"/>
      <c r="F4" s="2299"/>
      <c r="G4" s="2299"/>
      <c r="H4" s="2299"/>
      <c r="I4" s="2299"/>
      <c r="J4" s="815"/>
      <c r="K4" s="815"/>
      <c r="L4" s="815"/>
    </row>
    <row r="5" spans="1:256" ht="18">
      <c r="A5" s="2290" t="s">
        <v>654</v>
      </c>
      <c r="B5" s="2290"/>
      <c r="C5" s="2290"/>
      <c r="D5" s="2290"/>
      <c r="E5" s="2290"/>
      <c r="F5" s="2290"/>
      <c r="G5" s="2290"/>
      <c r="H5" s="2290"/>
      <c r="I5" s="2290"/>
      <c r="J5" s="815"/>
      <c r="K5" s="815"/>
      <c r="L5" s="815"/>
    </row>
    <row r="6" spans="1:256" ht="18">
      <c r="A6" s="2296" t="str">
        <f>"AS OF DECEMBER 31, "&amp;'PSO TCOS'!N2&amp;""</f>
        <v>AS OF DECEMBER 31, 2024</v>
      </c>
      <c r="B6" s="2296"/>
      <c r="C6" s="2296"/>
      <c r="D6" s="2296"/>
      <c r="E6" s="2296"/>
      <c r="F6" s="2296"/>
      <c r="G6" s="2296"/>
      <c r="H6" s="2296"/>
      <c r="I6" s="2296"/>
      <c r="J6" s="35"/>
      <c r="K6" s="35"/>
      <c r="L6" s="35"/>
    </row>
    <row r="7" spans="1:256" ht="15.5">
      <c r="A7" s="816"/>
      <c r="B7" s="2300"/>
      <c r="C7" s="2300"/>
      <c r="D7" s="2300"/>
      <c r="E7" s="2300"/>
      <c r="F7" s="817"/>
      <c r="G7" s="817"/>
      <c r="H7" s="817"/>
      <c r="I7" s="817"/>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16"/>
      <c r="AN7" s="816"/>
      <c r="AO7" s="816"/>
      <c r="AP7" s="816"/>
      <c r="AQ7" s="816"/>
      <c r="AR7" s="816"/>
      <c r="AS7" s="816"/>
      <c r="AT7" s="816"/>
      <c r="AU7" s="816"/>
      <c r="AV7" s="816"/>
      <c r="AW7" s="816"/>
      <c r="AX7" s="816"/>
      <c r="AY7" s="816"/>
      <c r="AZ7" s="816"/>
      <c r="BA7" s="816"/>
      <c r="BB7" s="816"/>
      <c r="BC7" s="816"/>
      <c r="BD7" s="816"/>
      <c r="BE7" s="816"/>
      <c r="BF7" s="816"/>
      <c r="BG7" s="816"/>
      <c r="BH7" s="816"/>
      <c r="BI7" s="816"/>
      <c r="BJ7" s="816"/>
      <c r="BK7" s="816"/>
      <c r="BL7" s="816"/>
      <c r="BM7" s="816"/>
      <c r="BN7" s="816"/>
      <c r="BO7" s="816"/>
      <c r="BP7" s="816"/>
      <c r="BQ7" s="816"/>
      <c r="BR7" s="816"/>
      <c r="BS7" s="816"/>
      <c r="BT7" s="816"/>
      <c r="BU7" s="816"/>
      <c r="BV7" s="816"/>
      <c r="BW7" s="816"/>
      <c r="BX7" s="816"/>
      <c r="BY7" s="816"/>
      <c r="BZ7" s="816"/>
      <c r="CA7" s="816"/>
      <c r="CB7" s="816"/>
      <c r="CC7" s="816"/>
      <c r="CD7" s="816"/>
      <c r="CE7" s="816"/>
      <c r="CF7" s="816"/>
      <c r="CG7" s="816"/>
      <c r="CH7" s="816"/>
      <c r="CI7" s="816"/>
      <c r="CJ7" s="816"/>
      <c r="CK7" s="816"/>
      <c r="CL7" s="816"/>
      <c r="CM7" s="816"/>
      <c r="CN7" s="816"/>
      <c r="CO7" s="816"/>
      <c r="CP7" s="816"/>
      <c r="CQ7" s="816"/>
      <c r="CR7" s="816"/>
      <c r="CS7" s="816"/>
      <c r="CT7" s="816"/>
      <c r="CU7" s="816"/>
      <c r="CV7" s="816"/>
      <c r="CW7" s="816"/>
      <c r="CX7" s="816"/>
      <c r="CY7" s="816"/>
      <c r="CZ7" s="816"/>
      <c r="DA7" s="816"/>
      <c r="DB7" s="816"/>
      <c r="DC7" s="816"/>
      <c r="DD7" s="816"/>
      <c r="DE7" s="816"/>
      <c r="DF7" s="816"/>
      <c r="DG7" s="816"/>
      <c r="DH7" s="816"/>
      <c r="DI7" s="816"/>
      <c r="DJ7" s="816"/>
      <c r="DK7" s="816"/>
      <c r="DL7" s="816"/>
      <c r="DM7" s="816"/>
      <c r="DN7" s="816"/>
      <c r="DO7" s="816"/>
      <c r="DP7" s="816"/>
      <c r="DQ7" s="816"/>
      <c r="DR7" s="816"/>
      <c r="DS7" s="816"/>
      <c r="DT7" s="816"/>
      <c r="DU7" s="816"/>
      <c r="DV7" s="816"/>
      <c r="DW7" s="816"/>
      <c r="DX7" s="816"/>
      <c r="DY7" s="816"/>
      <c r="DZ7" s="816"/>
      <c r="EA7" s="816"/>
      <c r="EB7" s="816"/>
      <c r="EC7" s="816"/>
      <c r="ED7" s="816"/>
      <c r="EE7" s="816"/>
      <c r="EF7" s="816"/>
      <c r="EG7" s="816"/>
      <c r="EH7" s="816"/>
      <c r="EI7" s="816"/>
      <c r="EJ7" s="816"/>
      <c r="EK7" s="816"/>
      <c r="EL7" s="816"/>
      <c r="EM7" s="816"/>
      <c r="EN7" s="816"/>
      <c r="EO7" s="816"/>
      <c r="EP7" s="816"/>
      <c r="EQ7" s="816"/>
      <c r="ER7" s="816"/>
      <c r="ES7" s="816"/>
      <c r="ET7" s="816"/>
      <c r="EU7" s="816"/>
      <c r="EV7" s="816"/>
      <c r="EW7" s="816"/>
      <c r="EX7" s="816"/>
      <c r="EY7" s="816"/>
      <c r="EZ7" s="816"/>
      <c r="FA7" s="816"/>
      <c r="FB7" s="816"/>
      <c r="FC7" s="816"/>
      <c r="FD7" s="816"/>
      <c r="FE7" s="816"/>
      <c r="FF7" s="816"/>
      <c r="FG7" s="816"/>
      <c r="FH7" s="816"/>
      <c r="FI7" s="816"/>
      <c r="FJ7" s="816"/>
      <c r="FK7" s="816"/>
      <c r="FL7" s="816"/>
      <c r="FM7" s="816"/>
      <c r="FN7" s="816"/>
      <c r="FO7" s="816"/>
      <c r="FP7" s="816"/>
      <c r="FQ7" s="816"/>
      <c r="FR7" s="816"/>
      <c r="FS7" s="816"/>
      <c r="FT7" s="816"/>
      <c r="FU7" s="816"/>
      <c r="FV7" s="816"/>
      <c r="FW7" s="816"/>
      <c r="FX7" s="816"/>
      <c r="FY7" s="816"/>
      <c r="FZ7" s="816"/>
      <c r="GA7" s="816"/>
      <c r="GB7" s="816"/>
      <c r="GC7" s="816"/>
      <c r="GD7" s="816"/>
      <c r="GE7" s="816"/>
      <c r="GF7" s="816"/>
      <c r="GG7" s="816"/>
      <c r="GH7" s="816"/>
      <c r="GI7" s="816"/>
      <c r="GJ7" s="816"/>
      <c r="GK7" s="816"/>
      <c r="GL7" s="816"/>
      <c r="GM7" s="816"/>
      <c r="GN7" s="816"/>
      <c r="GO7" s="816"/>
      <c r="GP7" s="816"/>
      <c r="GQ7" s="816"/>
      <c r="GR7" s="816"/>
      <c r="GS7" s="816"/>
      <c r="GT7" s="816"/>
      <c r="GU7" s="816"/>
      <c r="GV7" s="816"/>
      <c r="GW7" s="816"/>
      <c r="GX7" s="816"/>
      <c r="GY7" s="816"/>
      <c r="GZ7" s="816"/>
      <c r="HA7" s="816"/>
      <c r="HB7" s="816"/>
      <c r="HC7" s="816"/>
      <c r="HD7" s="816"/>
      <c r="HE7" s="816"/>
      <c r="HF7" s="816"/>
      <c r="HG7" s="816"/>
      <c r="HH7" s="816"/>
      <c r="HI7" s="816"/>
      <c r="HJ7" s="816"/>
      <c r="HK7" s="816"/>
      <c r="HL7" s="816"/>
      <c r="HM7" s="816"/>
      <c r="HN7" s="816"/>
      <c r="HO7" s="816"/>
      <c r="HP7" s="816"/>
      <c r="HQ7" s="816"/>
      <c r="HR7" s="816"/>
      <c r="HS7" s="816"/>
      <c r="HT7" s="816"/>
      <c r="HU7" s="816"/>
      <c r="HV7" s="816"/>
      <c r="HW7" s="816"/>
      <c r="HX7" s="816"/>
      <c r="HY7" s="816"/>
      <c r="HZ7" s="816"/>
      <c r="IA7" s="816"/>
      <c r="IB7" s="816"/>
      <c r="IC7" s="816"/>
      <c r="ID7" s="816"/>
      <c r="IE7" s="816"/>
      <c r="IF7" s="816"/>
      <c r="IG7" s="816"/>
      <c r="IH7" s="816"/>
      <c r="II7" s="816"/>
      <c r="IJ7" s="816"/>
      <c r="IK7" s="816"/>
      <c r="IL7" s="816"/>
      <c r="IM7" s="816"/>
      <c r="IN7" s="816"/>
      <c r="IO7" s="816"/>
      <c r="IP7" s="816"/>
      <c r="IQ7" s="816"/>
      <c r="IR7" s="816"/>
      <c r="IS7" s="816"/>
      <c r="IT7" s="816"/>
      <c r="IU7" s="816"/>
      <c r="IV7" s="816"/>
    </row>
    <row r="8" spans="1:256" ht="57" customHeight="1">
      <c r="A8" s="2301" t="s">
        <v>640</v>
      </c>
      <c r="B8" s="2301"/>
      <c r="C8" s="2301"/>
      <c r="D8" s="2301"/>
      <c r="E8" s="2301"/>
      <c r="F8" s="2301"/>
      <c r="G8" s="2301"/>
      <c r="H8" s="2301"/>
      <c r="I8" s="2301"/>
      <c r="J8" s="816"/>
      <c r="K8" s="816"/>
      <c r="L8" s="816"/>
      <c r="M8" s="816"/>
      <c r="N8" s="816"/>
      <c r="O8" s="816"/>
      <c r="P8" s="816"/>
      <c r="Q8" s="816"/>
      <c r="R8" s="816"/>
      <c r="S8" s="816"/>
      <c r="T8" s="816"/>
      <c r="U8" s="816"/>
      <c r="V8" s="816"/>
      <c r="W8" s="816"/>
      <c r="X8" s="816"/>
      <c r="Y8" s="816"/>
      <c r="Z8" s="816"/>
      <c r="AA8" s="816"/>
      <c r="AB8" s="816"/>
      <c r="AC8" s="816"/>
      <c r="AD8" s="816"/>
      <c r="AE8" s="816"/>
      <c r="AF8" s="816"/>
      <c r="AG8" s="816"/>
      <c r="AH8" s="816"/>
      <c r="AI8" s="816"/>
      <c r="AJ8" s="816"/>
      <c r="AK8" s="816"/>
      <c r="AL8" s="816"/>
      <c r="AM8" s="816"/>
      <c r="AN8" s="816"/>
      <c r="AO8" s="816"/>
      <c r="AP8" s="816"/>
      <c r="AQ8" s="816"/>
      <c r="AR8" s="816"/>
      <c r="AS8" s="816"/>
      <c r="AT8" s="816"/>
      <c r="AU8" s="816"/>
      <c r="AV8" s="816"/>
      <c r="AW8" s="816"/>
      <c r="AX8" s="816"/>
      <c r="AY8" s="816"/>
      <c r="AZ8" s="816"/>
      <c r="BA8" s="816"/>
      <c r="BB8" s="816"/>
      <c r="BC8" s="816"/>
      <c r="BD8" s="816"/>
      <c r="BE8" s="816"/>
      <c r="BF8" s="816"/>
      <c r="BG8" s="816"/>
      <c r="BH8" s="816"/>
      <c r="BI8" s="816"/>
      <c r="BJ8" s="816"/>
      <c r="BK8" s="816"/>
      <c r="BL8" s="816"/>
      <c r="BM8" s="816"/>
      <c r="BN8" s="816"/>
      <c r="BO8" s="816"/>
      <c r="BP8" s="816"/>
      <c r="BQ8" s="816"/>
      <c r="BR8" s="816"/>
      <c r="BS8" s="816"/>
      <c r="BT8" s="816"/>
      <c r="BU8" s="816"/>
      <c r="BV8" s="816"/>
      <c r="BW8" s="816"/>
      <c r="BX8" s="816"/>
      <c r="BY8" s="816"/>
      <c r="BZ8" s="816"/>
      <c r="CA8" s="816"/>
      <c r="CB8" s="816"/>
      <c r="CC8" s="816"/>
      <c r="CD8" s="816"/>
      <c r="CE8" s="816"/>
      <c r="CF8" s="816"/>
      <c r="CG8" s="816"/>
      <c r="CH8" s="816"/>
      <c r="CI8" s="816"/>
      <c r="CJ8" s="816"/>
      <c r="CK8" s="816"/>
      <c r="CL8" s="816"/>
      <c r="CM8" s="816"/>
      <c r="CN8" s="816"/>
      <c r="CO8" s="816"/>
      <c r="CP8" s="816"/>
      <c r="CQ8" s="816"/>
      <c r="CR8" s="816"/>
      <c r="CS8" s="816"/>
      <c r="CT8" s="816"/>
      <c r="CU8" s="816"/>
      <c r="CV8" s="816"/>
      <c r="CW8" s="816"/>
      <c r="CX8" s="816"/>
      <c r="CY8" s="816"/>
      <c r="CZ8" s="816"/>
      <c r="DA8" s="816"/>
      <c r="DB8" s="816"/>
      <c r="DC8" s="816"/>
      <c r="DD8" s="816"/>
      <c r="DE8" s="816"/>
      <c r="DF8" s="816"/>
      <c r="DG8" s="816"/>
      <c r="DH8" s="816"/>
      <c r="DI8" s="816"/>
      <c r="DJ8" s="816"/>
      <c r="DK8" s="816"/>
      <c r="DL8" s="816"/>
      <c r="DM8" s="816"/>
      <c r="DN8" s="816"/>
      <c r="DO8" s="816"/>
      <c r="DP8" s="816"/>
      <c r="DQ8" s="816"/>
      <c r="DR8" s="816"/>
      <c r="DS8" s="816"/>
      <c r="DT8" s="816"/>
      <c r="DU8" s="816"/>
      <c r="DV8" s="816"/>
      <c r="DW8" s="816"/>
      <c r="DX8" s="816"/>
      <c r="DY8" s="816"/>
      <c r="DZ8" s="816"/>
      <c r="EA8" s="816"/>
      <c r="EB8" s="816"/>
      <c r="EC8" s="816"/>
      <c r="ED8" s="816"/>
      <c r="EE8" s="816"/>
      <c r="EF8" s="816"/>
      <c r="EG8" s="816"/>
      <c r="EH8" s="816"/>
      <c r="EI8" s="816"/>
      <c r="EJ8" s="816"/>
      <c r="EK8" s="816"/>
      <c r="EL8" s="816"/>
      <c r="EM8" s="816"/>
      <c r="EN8" s="816"/>
      <c r="EO8" s="816"/>
      <c r="EP8" s="816"/>
      <c r="EQ8" s="816"/>
      <c r="ER8" s="816"/>
      <c r="ES8" s="816"/>
      <c r="ET8" s="816"/>
      <c r="EU8" s="816"/>
      <c r="EV8" s="816"/>
      <c r="EW8" s="816"/>
      <c r="EX8" s="816"/>
      <c r="EY8" s="816"/>
      <c r="EZ8" s="816"/>
      <c r="FA8" s="816"/>
      <c r="FB8" s="816"/>
      <c r="FC8" s="816"/>
      <c r="FD8" s="816"/>
      <c r="FE8" s="816"/>
      <c r="FF8" s="816"/>
      <c r="FG8" s="816"/>
      <c r="FH8" s="816"/>
      <c r="FI8" s="816"/>
      <c r="FJ8" s="816"/>
      <c r="FK8" s="816"/>
      <c r="FL8" s="816"/>
      <c r="FM8" s="816"/>
      <c r="FN8" s="816"/>
      <c r="FO8" s="816"/>
      <c r="FP8" s="816"/>
      <c r="FQ8" s="816"/>
      <c r="FR8" s="816"/>
      <c r="FS8" s="816"/>
      <c r="FT8" s="816"/>
      <c r="FU8" s="816"/>
      <c r="FV8" s="816"/>
      <c r="FW8" s="816"/>
      <c r="FX8" s="816"/>
      <c r="FY8" s="816"/>
      <c r="FZ8" s="816"/>
      <c r="GA8" s="816"/>
      <c r="GB8" s="816"/>
      <c r="GC8" s="816"/>
      <c r="GD8" s="816"/>
      <c r="GE8" s="816"/>
      <c r="GF8" s="816"/>
      <c r="GG8" s="816"/>
      <c r="GH8" s="816"/>
      <c r="GI8" s="816"/>
      <c r="GJ8" s="816"/>
      <c r="GK8" s="816"/>
      <c r="GL8" s="816"/>
      <c r="GM8" s="816"/>
      <c r="GN8" s="816"/>
      <c r="GO8" s="816"/>
      <c r="GP8" s="816"/>
      <c r="GQ8" s="816"/>
      <c r="GR8" s="816"/>
      <c r="GS8" s="816"/>
      <c r="GT8" s="816"/>
      <c r="GU8" s="816"/>
      <c r="GV8" s="816"/>
      <c r="GW8" s="816"/>
      <c r="GX8" s="816"/>
      <c r="GY8" s="816"/>
      <c r="GZ8" s="816"/>
      <c r="HA8" s="816"/>
      <c r="HB8" s="816"/>
      <c r="HC8" s="816"/>
      <c r="HD8" s="816"/>
      <c r="HE8" s="816"/>
      <c r="HF8" s="816"/>
      <c r="HG8" s="816"/>
      <c r="HH8" s="816"/>
      <c r="HI8" s="816"/>
      <c r="HJ8" s="816"/>
      <c r="HK8" s="816"/>
      <c r="HL8" s="816"/>
      <c r="HM8" s="816"/>
      <c r="HN8" s="816"/>
      <c r="HO8" s="816"/>
      <c r="HP8" s="816"/>
      <c r="HQ8" s="816"/>
      <c r="HR8" s="816"/>
      <c r="HS8" s="816"/>
      <c r="HT8" s="816"/>
      <c r="HU8" s="816"/>
      <c r="HV8" s="816"/>
      <c r="HW8" s="816"/>
      <c r="HX8" s="816"/>
      <c r="HY8" s="816"/>
      <c r="HZ8" s="816"/>
      <c r="IA8" s="816"/>
      <c r="IB8" s="816"/>
      <c r="IC8" s="816"/>
      <c r="ID8" s="816"/>
      <c r="IE8" s="816"/>
      <c r="IF8" s="816"/>
      <c r="IG8" s="816"/>
      <c r="IH8" s="816"/>
      <c r="II8" s="816"/>
      <c r="IJ8" s="816"/>
      <c r="IK8" s="816"/>
      <c r="IL8" s="816"/>
      <c r="IM8" s="816"/>
      <c r="IN8" s="816"/>
      <c r="IO8" s="816"/>
      <c r="IP8" s="816"/>
      <c r="IQ8" s="816"/>
      <c r="IR8" s="816"/>
      <c r="IS8" s="816"/>
      <c r="IT8" s="816"/>
      <c r="IU8" s="816"/>
      <c r="IV8" s="816"/>
    </row>
    <row r="9" spans="1:256">
      <c r="B9" s="818"/>
      <c r="C9" s="818"/>
      <c r="D9" s="818"/>
      <c r="E9" s="818"/>
      <c r="F9" s="818"/>
      <c r="G9" s="818"/>
      <c r="H9" s="818"/>
      <c r="I9" s="818"/>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6"/>
      <c r="AV9" s="816"/>
      <c r="AW9" s="816"/>
      <c r="AX9" s="816"/>
      <c r="AY9" s="816"/>
      <c r="AZ9" s="816"/>
      <c r="BA9" s="816"/>
      <c r="BB9" s="816"/>
      <c r="BC9" s="816"/>
      <c r="BD9" s="816"/>
      <c r="BE9" s="816"/>
      <c r="BF9" s="816"/>
      <c r="BG9" s="816"/>
      <c r="BH9" s="816"/>
      <c r="BI9" s="816"/>
      <c r="BJ9" s="816"/>
      <c r="BK9" s="816"/>
      <c r="BL9" s="816"/>
      <c r="BM9" s="816"/>
      <c r="BN9" s="816"/>
      <c r="BO9" s="816"/>
      <c r="BP9" s="816"/>
      <c r="BQ9" s="816"/>
      <c r="BR9" s="816"/>
      <c r="BS9" s="816"/>
      <c r="BT9" s="816"/>
      <c r="BU9" s="816"/>
      <c r="BV9" s="816"/>
      <c r="BW9" s="816"/>
      <c r="BX9" s="816"/>
      <c r="BY9" s="816"/>
      <c r="BZ9" s="816"/>
      <c r="CA9" s="816"/>
      <c r="CB9" s="816"/>
      <c r="CC9" s="816"/>
      <c r="CD9" s="816"/>
      <c r="CE9" s="816"/>
      <c r="CF9" s="816"/>
      <c r="CG9" s="816"/>
      <c r="CH9" s="816"/>
      <c r="CI9" s="816"/>
      <c r="CJ9" s="816"/>
      <c r="CK9" s="816"/>
      <c r="CL9" s="816"/>
      <c r="CM9" s="816"/>
      <c r="CN9" s="816"/>
      <c r="CO9" s="816"/>
      <c r="CP9" s="816"/>
      <c r="CQ9" s="816"/>
      <c r="CR9" s="816"/>
      <c r="CS9" s="816"/>
      <c r="CT9" s="816"/>
      <c r="CU9" s="816"/>
      <c r="CV9" s="816"/>
      <c r="CW9" s="816"/>
      <c r="CX9" s="816"/>
      <c r="CY9" s="816"/>
      <c r="CZ9" s="816"/>
      <c r="DA9" s="816"/>
      <c r="DB9" s="816"/>
      <c r="DC9" s="816"/>
      <c r="DD9" s="816"/>
      <c r="DE9" s="816"/>
      <c r="DF9" s="816"/>
      <c r="DG9" s="816"/>
      <c r="DH9" s="816"/>
      <c r="DI9" s="816"/>
      <c r="DJ9" s="816"/>
      <c r="DK9" s="816"/>
      <c r="DL9" s="816"/>
      <c r="DM9" s="816"/>
      <c r="DN9" s="816"/>
      <c r="DO9" s="816"/>
      <c r="DP9" s="816"/>
      <c r="DQ9" s="816"/>
      <c r="DR9" s="816"/>
      <c r="DS9" s="816"/>
      <c r="DT9" s="816"/>
      <c r="DU9" s="816"/>
      <c r="DV9" s="816"/>
      <c r="DW9" s="816"/>
      <c r="DX9" s="816"/>
      <c r="DY9" s="816"/>
      <c r="DZ9" s="816"/>
      <c r="EA9" s="816"/>
      <c r="EB9" s="816"/>
      <c r="EC9" s="816"/>
      <c r="ED9" s="816"/>
      <c r="EE9" s="816"/>
      <c r="EF9" s="816"/>
      <c r="EG9" s="816"/>
      <c r="EH9" s="816"/>
      <c r="EI9" s="816"/>
      <c r="EJ9" s="816"/>
      <c r="EK9" s="816"/>
      <c r="EL9" s="816"/>
      <c r="EM9" s="816"/>
      <c r="EN9" s="816"/>
      <c r="EO9" s="816"/>
      <c r="EP9" s="816"/>
      <c r="EQ9" s="816"/>
      <c r="ER9" s="816"/>
      <c r="ES9" s="816"/>
      <c r="ET9" s="816"/>
      <c r="EU9" s="816"/>
      <c r="EV9" s="816"/>
      <c r="EW9" s="816"/>
      <c r="EX9" s="816"/>
      <c r="EY9" s="816"/>
      <c r="EZ9" s="816"/>
      <c r="FA9" s="816"/>
      <c r="FB9" s="816"/>
      <c r="FC9" s="816"/>
      <c r="FD9" s="816"/>
      <c r="FE9" s="816"/>
      <c r="FF9" s="816"/>
      <c r="FG9" s="816"/>
      <c r="FH9" s="816"/>
      <c r="FI9" s="816"/>
      <c r="FJ9" s="816"/>
      <c r="FK9" s="816"/>
      <c r="FL9" s="816"/>
      <c r="FM9" s="816"/>
      <c r="FN9" s="816"/>
      <c r="FO9" s="816"/>
      <c r="FP9" s="816"/>
      <c r="FQ9" s="816"/>
      <c r="FR9" s="816"/>
      <c r="FS9" s="816"/>
      <c r="FT9" s="816"/>
      <c r="FU9" s="816"/>
      <c r="FV9" s="816"/>
      <c r="FW9" s="816"/>
      <c r="FX9" s="816"/>
      <c r="FY9" s="816"/>
      <c r="FZ9" s="816"/>
      <c r="GA9" s="816"/>
      <c r="GB9" s="816"/>
      <c r="GC9" s="816"/>
      <c r="GD9" s="816"/>
      <c r="GE9" s="816"/>
      <c r="GF9" s="816"/>
      <c r="GG9" s="816"/>
      <c r="GH9" s="816"/>
      <c r="GI9" s="816"/>
      <c r="GJ9" s="816"/>
      <c r="GK9" s="816"/>
      <c r="GL9" s="816"/>
      <c r="GM9" s="816"/>
      <c r="GN9" s="816"/>
      <c r="GO9" s="816"/>
      <c r="GP9" s="816"/>
      <c r="GQ9" s="816"/>
      <c r="GR9" s="816"/>
      <c r="GS9" s="816"/>
      <c r="GT9" s="816"/>
      <c r="GU9" s="816"/>
      <c r="GV9" s="816"/>
      <c r="GW9" s="816"/>
      <c r="GX9" s="816"/>
      <c r="GY9" s="816"/>
      <c r="GZ9" s="816"/>
      <c r="HA9" s="816"/>
      <c r="HB9" s="816"/>
      <c r="HC9" s="816"/>
      <c r="HD9" s="816"/>
      <c r="HE9" s="816"/>
      <c r="HF9" s="816"/>
      <c r="HG9" s="816"/>
      <c r="HH9" s="816"/>
      <c r="HI9" s="816"/>
      <c r="HJ9" s="816"/>
      <c r="HK9" s="816"/>
      <c r="HL9" s="816"/>
      <c r="HM9" s="816"/>
      <c r="HN9" s="816"/>
      <c r="HO9" s="816"/>
      <c r="HP9" s="816"/>
      <c r="HQ9" s="816"/>
      <c r="HR9" s="816"/>
      <c r="HS9" s="816"/>
      <c r="HT9" s="816"/>
      <c r="HU9" s="816"/>
      <c r="HV9" s="816"/>
      <c r="HW9" s="816"/>
      <c r="HX9" s="816"/>
      <c r="HY9" s="816"/>
      <c r="HZ9" s="816"/>
      <c r="IA9" s="816"/>
      <c r="IB9" s="816"/>
      <c r="IC9" s="816"/>
      <c r="ID9" s="816"/>
      <c r="IE9" s="816"/>
      <c r="IF9" s="816"/>
      <c r="IG9" s="816"/>
      <c r="IH9" s="816"/>
      <c r="II9" s="816"/>
      <c r="IJ9" s="816"/>
      <c r="IK9" s="816"/>
      <c r="IL9" s="816"/>
      <c r="IM9" s="816"/>
      <c r="IN9" s="816"/>
      <c r="IO9" s="816"/>
      <c r="IP9" s="816"/>
      <c r="IQ9" s="816"/>
      <c r="IR9" s="816"/>
      <c r="IS9" s="816"/>
      <c r="IT9" s="816"/>
      <c r="IU9" s="816"/>
      <c r="IV9" s="816"/>
    </row>
    <row r="10" spans="1:256">
      <c r="A10" s="819" t="s">
        <v>639</v>
      </c>
      <c r="B10" s="818"/>
      <c r="C10" s="816"/>
      <c r="D10" s="818"/>
      <c r="E10" s="2298" t="s">
        <v>345</v>
      </c>
      <c r="F10" s="2298"/>
      <c r="G10" s="818"/>
      <c r="H10" s="818"/>
      <c r="I10" s="818"/>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6"/>
      <c r="BJ10" s="816"/>
      <c r="BK10" s="816"/>
      <c r="BL10" s="816"/>
      <c r="BM10" s="816"/>
      <c r="BN10" s="816"/>
      <c r="BO10" s="816"/>
      <c r="BP10" s="816"/>
      <c r="BQ10" s="816"/>
      <c r="BR10" s="816"/>
      <c r="BS10" s="816"/>
      <c r="BT10" s="816"/>
      <c r="BU10" s="816"/>
      <c r="BV10" s="816"/>
      <c r="BW10" s="816"/>
      <c r="BX10" s="816"/>
      <c r="BY10" s="816"/>
      <c r="BZ10" s="816"/>
      <c r="CA10" s="816"/>
      <c r="CB10" s="816"/>
      <c r="CC10" s="816"/>
      <c r="CD10" s="816"/>
      <c r="CE10" s="816"/>
      <c r="CF10" s="816"/>
      <c r="CG10" s="816"/>
      <c r="CH10" s="816"/>
      <c r="CI10" s="816"/>
      <c r="CJ10" s="816"/>
      <c r="CK10" s="816"/>
      <c r="CL10" s="816"/>
      <c r="CM10" s="816"/>
      <c r="CN10" s="816"/>
      <c r="CO10" s="816"/>
      <c r="CP10" s="816"/>
      <c r="CQ10" s="816"/>
      <c r="CR10" s="816"/>
      <c r="CS10" s="816"/>
      <c r="CT10" s="816"/>
      <c r="CU10" s="816"/>
      <c r="CV10" s="816"/>
      <c r="CW10" s="816"/>
      <c r="CX10" s="816"/>
      <c r="CY10" s="816"/>
      <c r="CZ10" s="816"/>
      <c r="DA10" s="816"/>
      <c r="DB10" s="816"/>
      <c r="DC10" s="816"/>
      <c r="DD10" s="816"/>
      <c r="DE10" s="816"/>
      <c r="DF10" s="816"/>
      <c r="DG10" s="816"/>
      <c r="DH10" s="816"/>
      <c r="DI10" s="816"/>
      <c r="DJ10" s="816"/>
      <c r="DK10" s="816"/>
      <c r="DL10" s="816"/>
      <c r="DM10" s="816"/>
      <c r="DN10" s="816"/>
      <c r="DO10" s="816"/>
      <c r="DP10" s="816"/>
      <c r="DQ10" s="816"/>
      <c r="DR10" s="816"/>
      <c r="DS10" s="816"/>
      <c r="DT10" s="816"/>
      <c r="DU10" s="816"/>
      <c r="DV10" s="816"/>
      <c r="DW10" s="816"/>
      <c r="DX10" s="816"/>
      <c r="DY10" s="816"/>
      <c r="DZ10" s="816"/>
      <c r="EA10" s="816"/>
      <c r="EB10" s="816"/>
      <c r="EC10" s="816"/>
      <c r="ED10" s="816"/>
      <c r="EE10" s="816"/>
      <c r="EF10" s="816"/>
      <c r="EG10" s="816"/>
      <c r="EH10" s="816"/>
      <c r="EI10" s="816"/>
      <c r="EJ10" s="816"/>
      <c r="EK10" s="816"/>
      <c r="EL10" s="816"/>
      <c r="EM10" s="816"/>
      <c r="EN10" s="816"/>
      <c r="EO10" s="816"/>
      <c r="EP10" s="816"/>
      <c r="EQ10" s="816"/>
      <c r="ER10" s="816"/>
      <c r="ES10" s="816"/>
      <c r="ET10" s="816"/>
      <c r="EU10" s="816"/>
      <c r="EV10" s="816"/>
      <c r="EW10" s="816"/>
      <c r="EX10" s="816"/>
      <c r="EY10" s="816"/>
      <c r="EZ10" s="816"/>
      <c r="FA10" s="816"/>
      <c r="FB10" s="816"/>
      <c r="FC10" s="816"/>
      <c r="FD10" s="816"/>
      <c r="FE10" s="816"/>
      <c r="FF10" s="816"/>
      <c r="FG10" s="816"/>
      <c r="FH10" s="816"/>
      <c r="FI10" s="816"/>
      <c r="FJ10" s="816"/>
      <c r="FK10" s="816"/>
      <c r="FL10" s="816"/>
      <c r="FM10" s="816"/>
      <c r="FN10" s="816"/>
      <c r="FO10" s="816"/>
      <c r="FP10" s="816"/>
      <c r="FQ10" s="816"/>
      <c r="FR10" s="816"/>
      <c r="FS10" s="816"/>
      <c r="FT10" s="816"/>
      <c r="FU10" s="816"/>
      <c r="FV10" s="816"/>
      <c r="FW10" s="816"/>
      <c r="FX10" s="816"/>
      <c r="FY10" s="816"/>
      <c r="FZ10" s="816"/>
      <c r="GA10" s="816"/>
      <c r="GB10" s="816"/>
      <c r="GC10" s="816"/>
      <c r="GD10" s="816"/>
      <c r="GE10" s="816"/>
      <c r="GF10" s="816"/>
      <c r="GG10" s="816"/>
      <c r="GH10" s="816"/>
      <c r="GI10" s="816"/>
      <c r="GJ10" s="816"/>
      <c r="GK10" s="816"/>
      <c r="GL10" s="816"/>
      <c r="GM10" s="816"/>
      <c r="GN10" s="816"/>
      <c r="GO10" s="816"/>
      <c r="GP10" s="816"/>
      <c r="GQ10" s="816"/>
      <c r="GR10" s="816"/>
      <c r="GS10" s="816"/>
      <c r="GT10" s="816"/>
      <c r="GU10" s="816"/>
      <c r="GV10" s="816"/>
      <c r="GW10" s="816"/>
      <c r="GX10" s="816"/>
      <c r="GY10" s="816"/>
      <c r="GZ10" s="816"/>
      <c r="HA10" s="816"/>
      <c r="HB10" s="816"/>
      <c r="HC10" s="816"/>
      <c r="HD10" s="816"/>
      <c r="HE10" s="816"/>
      <c r="HF10" s="816"/>
      <c r="HG10" s="816"/>
      <c r="HH10" s="816"/>
      <c r="HI10" s="816"/>
      <c r="HJ10" s="816"/>
      <c r="HK10" s="816"/>
      <c r="HL10" s="816"/>
      <c r="HM10" s="816"/>
      <c r="HN10" s="816"/>
      <c r="HO10" s="816"/>
      <c r="HP10" s="816"/>
      <c r="HQ10" s="816"/>
      <c r="HR10" s="816"/>
      <c r="HS10" s="816"/>
      <c r="HT10" s="816"/>
      <c r="HU10" s="816"/>
      <c r="HV10" s="816"/>
      <c r="HW10" s="816"/>
      <c r="HX10" s="816"/>
      <c r="HY10" s="816"/>
      <c r="HZ10" s="816"/>
      <c r="IA10" s="816"/>
      <c r="IB10" s="816"/>
      <c r="IC10" s="816"/>
      <c r="ID10" s="816"/>
      <c r="IE10" s="816"/>
      <c r="IF10" s="816"/>
      <c r="IG10" s="816"/>
      <c r="IH10" s="816"/>
      <c r="II10" s="816"/>
      <c r="IJ10" s="816"/>
      <c r="IK10" s="816"/>
      <c r="IL10" s="816"/>
      <c r="IM10" s="816"/>
      <c r="IN10" s="816"/>
      <c r="IO10" s="816"/>
      <c r="IP10" s="816"/>
      <c r="IQ10" s="816"/>
      <c r="IR10" s="816"/>
      <c r="IS10" s="816"/>
      <c r="IT10" s="816"/>
      <c r="IU10" s="816"/>
      <c r="IV10" s="816"/>
    </row>
    <row r="11" spans="1:256">
      <c r="A11" s="820">
        <v>1</v>
      </c>
      <c r="B11" s="821" t="s">
        <v>930</v>
      </c>
      <c r="C11" s="822"/>
      <c r="D11" s="822"/>
      <c r="E11" s="822" t="s">
        <v>524</v>
      </c>
      <c r="F11" s="818"/>
      <c r="G11" s="816"/>
      <c r="H11" s="711">
        <f>+'PSO WS C-1 ADIT EOY'!H29*0</f>
        <v>0</v>
      </c>
      <c r="I11" s="818"/>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6"/>
      <c r="AS11" s="816"/>
      <c r="AT11" s="816"/>
      <c r="AU11" s="816"/>
      <c r="AV11" s="816"/>
      <c r="AW11" s="816"/>
      <c r="AX11" s="816"/>
      <c r="AY11" s="816"/>
      <c r="AZ11" s="816"/>
      <c r="BA11" s="816"/>
      <c r="BB11" s="816"/>
      <c r="BC11" s="816"/>
      <c r="BD11" s="816"/>
      <c r="BE11" s="816"/>
      <c r="BF11" s="816"/>
      <c r="BG11" s="816"/>
      <c r="BH11" s="816"/>
      <c r="BI11" s="816"/>
      <c r="BJ11" s="816"/>
      <c r="BK11" s="816"/>
      <c r="BL11" s="816"/>
      <c r="BM11" s="816"/>
      <c r="BN11" s="816"/>
      <c r="BO11" s="816"/>
      <c r="BP11" s="816"/>
      <c r="BQ11" s="816"/>
      <c r="BR11" s="816"/>
      <c r="BS11" s="816"/>
      <c r="BT11" s="816"/>
      <c r="BU11" s="816"/>
      <c r="BV11" s="816"/>
      <c r="BW11" s="816"/>
      <c r="BX11" s="816"/>
      <c r="BY11" s="816"/>
      <c r="BZ11" s="816"/>
      <c r="CA11" s="816"/>
      <c r="CB11" s="816"/>
      <c r="CC11" s="816"/>
      <c r="CD11" s="816"/>
      <c r="CE11" s="816"/>
      <c r="CF11" s="816"/>
      <c r="CG11" s="816"/>
      <c r="CH11" s="816"/>
      <c r="CI11" s="816"/>
      <c r="CJ11" s="816"/>
      <c r="CK11" s="816"/>
      <c r="CL11" s="816"/>
      <c r="CM11" s="816"/>
      <c r="CN11" s="816"/>
      <c r="CO11" s="816"/>
      <c r="CP11" s="816"/>
      <c r="CQ11" s="816"/>
      <c r="CR11" s="816"/>
      <c r="CS11" s="816"/>
      <c r="CT11" s="816"/>
      <c r="CU11" s="816"/>
      <c r="CV11" s="816"/>
      <c r="CW11" s="816"/>
      <c r="CX11" s="816"/>
      <c r="CY11" s="816"/>
      <c r="CZ11" s="816"/>
      <c r="DA11" s="816"/>
      <c r="DB11" s="816"/>
      <c r="DC11" s="816"/>
      <c r="DD11" s="816"/>
      <c r="DE11" s="816"/>
      <c r="DF11" s="816"/>
      <c r="DG11" s="816"/>
      <c r="DH11" s="816"/>
      <c r="DI11" s="816"/>
      <c r="DJ11" s="816"/>
      <c r="DK11" s="816"/>
      <c r="DL11" s="816"/>
      <c r="DM11" s="816"/>
      <c r="DN11" s="816"/>
      <c r="DO11" s="816"/>
      <c r="DP11" s="816"/>
      <c r="DQ11" s="816"/>
      <c r="DR11" s="816"/>
      <c r="DS11" s="816"/>
      <c r="DT11" s="816"/>
      <c r="DU11" s="816"/>
      <c r="DV11" s="816"/>
      <c r="DW11" s="816"/>
      <c r="DX11" s="816"/>
      <c r="DY11" s="816"/>
      <c r="DZ11" s="816"/>
      <c r="EA11" s="816"/>
      <c r="EB11" s="816"/>
      <c r="EC11" s="816"/>
      <c r="ED11" s="816"/>
      <c r="EE11" s="816"/>
      <c r="EF11" s="816"/>
      <c r="EG11" s="816"/>
      <c r="EH11" s="816"/>
      <c r="EI11" s="816"/>
      <c r="EJ11" s="816"/>
      <c r="EK11" s="816"/>
      <c r="EL11" s="816"/>
      <c r="EM11" s="816"/>
      <c r="EN11" s="816"/>
      <c r="EO11" s="816"/>
      <c r="EP11" s="816"/>
      <c r="EQ11" s="816"/>
      <c r="ER11" s="816"/>
      <c r="ES11" s="816"/>
      <c r="ET11" s="816"/>
      <c r="EU11" s="816"/>
      <c r="EV11" s="816"/>
      <c r="EW11" s="816"/>
      <c r="EX11" s="816"/>
      <c r="EY11" s="816"/>
      <c r="EZ11" s="816"/>
      <c r="FA11" s="816"/>
      <c r="FB11" s="816"/>
      <c r="FC11" s="816"/>
      <c r="FD11" s="816"/>
      <c r="FE11" s="816"/>
      <c r="FF11" s="816"/>
      <c r="FG11" s="816"/>
      <c r="FH11" s="816"/>
      <c r="FI11" s="816"/>
      <c r="FJ11" s="816"/>
      <c r="FK11" s="816"/>
      <c r="FL11" s="816"/>
      <c r="FM11" s="816"/>
      <c r="FN11" s="816"/>
      <c r="FO11" s="816"/>
      <c r="FP11" s="816"/>
      <c r="FQ11" s="816"/>
      <c r="FR11" s="816"/>
      <c r="FS11" s="816"/>
      <c r="FT11" s="816"/>
      <c r="FU11" s="816"/>
      <c r="FV11" s="816"/>
      <c r="FW11" s="816"/>
      <c r="FX11" s="816"/>
      <c r="FY11" s="816"/>
      <c r="FZ11" s="816"/>
      <c r="GA11" s="816"/>
      <c r="GB11" s="816"/>
      <c r="GC11" s="816"/>
      <c r="GD11" s="816"/>
      <c r="GE11" s="816"/>
      <c r="GF11" s="816"/>
      <c r="GG11" s="816"/>
      <c r="GH11" s="816"/>
      <c r="GI11" s="816"/>
      <c r="GJ11" s="816"/>
      <c r="GK11" s="816"/>
      <c r="GL11" s="816"/>
      <c r="GM11" s="816"/>
      <c r="GN11" s="816"/>
      <c r="GO11" s="816"/>
      <c r="GP11" s="816"/>
      <c r="GQ11" s="816"/>
      <c r="GR11" s="816"/>
      <c r="GS11" s="816"/>
      <c r="GT11" s="816"/>
      <c r="GU11" s="816"/>
      <c r="GV11" s="816"/>
      <c r="GW11" s="816"/>
      <c r="GX11" s="816"/>
      <c r="GY11" s="816"/>
      <c r="GZ11" s="816"/>
      <c r="HA11" s="816"/>
      <c r="HB11" s="816"/>
      <c r="HC11" s="816"/>
      <c r="HD11" s="816"/>
      <c r="HE11" s="816"/>
      <c r="HF11" s="816"/>
      <c r="HG11" s="816"/>
      <c r="HH11" s="816"/>
      <c r="HI11" s="816"/>
      <c r="HJ11" s="816"/>
      <c r="HK11" s="816"/>
      <c r="HL11" s="816"/>
      <c r="HM11" s="816"/>
      <c r="HN11" s="816"/>
      <c r="HO11" s="816"/>
      <c r="HP11" s="816"/>
      <c r="HQ11" s="816"/>
      <c r="HR11" s="816"/>
      <c r="HS11" s="816"/>
      <c r="HT11" s="816"/>
      <c r="HU11" s="816"/>
      <c r="HV11" s="816"/>
      <c r="HW11" s="816"/>
      <c r="HX11" s="816"/>
      <c r="HY11" s="816"/>
      <c r="HZ11" s="816"/>
      <c r="IA11" s="816"/>
      <c r="IB11" s="816"/>
      <c r="IC11" s="816"/>
      <c r="ID11" s="816"/>
      <c r="IE11" s="816"/>
      <c r="IF11" s="816"/>
      <c r="IG11" s="816"/>
      <c r="IH11" s="816"/>
      <c r="II11" s="816"/>
      <c r="IJ11" s="816"/>
      <c r="IK11" s="816"/>
      <c r="IL11" s="816"/>
      <c r="IM11" s="816"/>
      <c r="IN11" s="816"/>
      <c r="IO11" s="816"/>
      <c r="IP11" s="816"/>
      <c r="IQ11" s="816"/>
      <c r="IR11" s="816"/>
      <c r="IS11" s="816"/>
      <c r="IT11" s="816"/>
      <c r="IU11" s="816"/>
      <c r="IV11" s="816"/>
    </row>
    <row r="12" spans="1:256">
      <c r="A12" s="820">
        <f>+A11+1</f>
        <v>2</v>
      </c>
      <c r="B12" s="821" t="s">
        <v>931</v>
      </c>
      <c r="C12" s="822"/>
      <c r="D12" s="822"/>
      <c r="E12" s="822" t="s">
        <v>525</v>
      </c>
      <c r="F12" s="818"/>
      <c r="G12" s="816"/>
      <c r="H12" s="711">
        <f>+'PSO WS C-2 ADIT BOY'!H31*0</f>
        <v>0</v>
      </c>
      <c r="I12" s="818"/>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816"/>
      <c r="AU12" s="816"/>
      <c r="AV12" s="816"/>
      <c r="AW12" s="816"/>
      <c r="AX12" s="816"/>
      <c r="AY12" s="816"/>
      <c r="AZ12" s="816"/>
      <c r="BA12" s="816"/>
      <c r="BB12" s="816"/>
      <c r="BC12" s="816"/>
      <c r="BD12" s="816"/>
      <c r="BE12" s="816"/>
      <c r="BF12" s="816"/>
      <c r="BG12" s="816"/>
      <c r="BH12" s="816"/>
      <c r="BI12" s="816"/>
      <c r="BJ12" s="816"/>
      <c r="BK12" s="816"/>
      <c r="BL12" s="816"/>
      <c r="BM12" s="816"/>
      <c r="BN12" s="816"/>
      <c r="BO12" s="816"/>
      <c r="BP12" s="816"/>
      <c r="BQ12" s="816"/>
      <c r="BR12" s="816"/>
      <c r="BS12" s="816"/>
      <c r="BT12" s="816"/>
      <c r="BU12" s="816"/>
      <c r="BV12" s="816"/>
      <c r="BW12" s="816"/>
      <c r="BX12" s="816"/>
      <c r="BY12" s="816"/>
      <c r="BZ12" s="816"/>
      <c r="CA12" s="816"/>
      <c r="CB12" s="816"/>
      <c r="CC12" s="816"/>
      <c r="CD12" s="816"/>
      <c r="CE12" s="816"/>
      <c r="CF12" s="816"/>
      <c r="CG12" s="816"/>
      <c r="CH12" s="816"/>
      <c r="CI12" s="816"/>
      <c r="CJ12" s="816"/>
      <c r="CK12" s="816"/>
      <c r="CL12" s="816"/>
      <c r="CM12" s="816"/>
      <c r="CN12" s="816"/>
      <c r="CO12" s="816"/>
      <c r="CP12" s="816"/>
      <c r="CQ12" s="816"/>
      <c r="CR12" s="816"/>
      <c r="CS12" s="816"/>
      <c r="CT12" s="816"/>
      <c r="CU12" s="816"/>
      <c r="CV12" s="816"/>
      <c r="CW12" s="816"/>
      <c r="CX12" s="816"/>
      <c r="CY12" s="816"/>
      <c r="CZ12" s="816"/>
      <c r="DA12" s="816"/>
      <c r="DB12" s="816"/>
      <c r="DC12" s="816"/>
      <c r="DD12" s="816"/>
      <c r="DE12" s="816"/>
      <c r="DF12" s="816"/>
      <c r="DG12" s="816"/>
      <c r="DH12" s="816"/>
      <c r="DI12" s="816"/>
      <c r="DJ12" s="816"/>
      <c r="DK12" s="816"/>
      <c r="DL12" s="816"/>
      <c r="DM12" s="816"/>
      <c r="DN12" s="816"/>
      <c r="DO12" s="816"/>
      <c r="DP12" s="816"/>
      <c r="DQ12" s="816"/>
      <c r="DR12" s="816"/>
      <c r="DS12" s="816"/>
      <c r="DT12" s="816"/>
      <c r="DU12" s="816"/>
      <c r="DV12" s="816"/>
      <c r="DW12" s="816"/>
      <c r="DX12" s="816"/>
      <c r="DY12" s="816"/>
      <c r="DZ12" s="816"/>
      <c r="EA12" s="816"/>
      <c r="EB12" s="816"/>
      <c r="EC12" s="816"/>
      <c r="ED12" s="816"/>
      <c r="EE12" s="816"/>
      <c r="EF12" s="816"/>
      <c r="EG12" s="816"/>
      <c r="EH12" s="816"/>
      <c r="EI12" s="816"/>
      <c r="EJ12" s="816"/>
      <c r="EK12" s="816"/>
      <c r="EL12" s="816"/>
      <c r="EM12" s="816"/>
      <c r="EN12" s="816"/>
      <c r="EO12" s="816"/>
      <c r="EP12" s="816"/>
      <c r="EQ12" s="816"/>
      <c r="ER12" s="816"/>
      <c r="ES12" s="816"/>
      <c r="ET12" s="816"/>
      <c r="EU12" s="816"/>
      <c r="EV12" s="816"/>
      <c r="EW12" s="816"/>
      <c r="EX12" s="816"/>
      <c r="EY12" s="816"/>
      <c r="EZ12" s="816"/>
      <c r="FA12" s="816"/>
      <c r="FB12" s="816"/>
      <c r="FC12" s="816"/>
      <c r="FD12" s="816"/>
      <c r="FE12" s="816"/>
      <c r="FF12" s="816"/>
      <c r="FG12" s="816"/>
      <c r="FH12" s="816"/>
      <c r="FI12" s="816"/>
      <c r="FJ12" s="816"/>
      <c r="FK12" s="816"/>
      <c r="FL12" s="816"/>
      <c r="FM12" s="816"/>
      <c r="FN12" s="816"/>
      <c r="FO12" s="816"/>
      <c r="FP12" s="816"/>
      <c r="FQ12" s="816"/>
      <c r="FR12" s="816"/>
      <c r="FS12" s="816"/>
      <c r="FT12" s="816"/>
      <c r="FU12" s="816"/>
      <c r="FV12" s="816"/>
      <c r="FW12" s="816"/>
      <c r="FX12" s="816"/>
      <c r="FY12" s="816"/>
      <c r="FZ12" s="816"/>
      <c r="GA12" s="816"/>
      <c r="GB12" s="816"/>
      <c r="GC12" s="816"/>
      <c r="GD12" s="816"/>
      <c r="GE12" s="816"/>
      <c r="GF12" s="816"/>
      <c r="GG12" s="816"/>
      <c r="GH12" s="816"/>
      <c r="GI12" s="816"/>
      <c r="GJ12" s="816"/>
      <c r="GK12" s="816"/>
      <c r="GL12" s="816"/>
      <c r="GM12" s="816"/>
      <c r="GN12" s="816"/>
      <c r="GO12" s="816"/>
      <c r="GP12" s="816"/>
      <c r="GQ12" s="816"/>
      <c r="GR12" s="816"/>
      <c r="GS12" s="816"/>
      <c r="GT12" s="816"/>
      <c r="GU12" s="816"/>
      <c r="GV12" s="816"/>
      <c r="GW12" s="816"/>
      <c r="GX12" s="816"/>
      <c r="GY12" s="816"/>
      <c r="GZ12" s="816"/>
      <c r="HA12" s="816"/>
      <c r="HB12" s="816"/>
      <c r="HC12" s="816"/>
      <c r="HD12" s="816"/>
      <c r="HE12" s="816"/>
      <c r="HF12" s="816"/>
      <c r="HG12" s="816"/>
      <c r="HH12" s="816"/>
      <c r="HI12" s="816"/>
      <c r="HJ12" s="816"/>
      <c r="HK12" s="816"/>
      <c r="HL12" s="816"/>
      <c r="HM12" s="816"/>
      <c r="HN12" s="816"/>
      <c r="HO12" s="816"/>
      <c r="HP12" s="816"/>
      <c r="HQ12" s="816"/>
      <c r="HR12" s="816"/>
      <c r="HS12" s="816"/>
      <c r="HT12" s="816"/>
      <c r="HU12" s="816"/>
      <c r="HV12" s="816"/>
      <c r="HW12" s="816"/>
      <c r="HX12" s="816"/>
      <c r="HY12" s="816"/>
      <c r="HZ12" s="816"/>
      <c r="IA12" s="816"/>
      <c r="IB12" s="816"/>
      <c r="IC12" s="816"/>
      <c r="ID12" s="816"/>
      <c r="IE12" s="816"/>
      <c r="IF12" s="816"/>
      <c r="IG12" s="816"/>
      <c r="IH12" s="816"/>
      <c r="II12" s="816"/>
      <c r="IJ12" s="816"/>
      <c r="IK12" s="816"/>
      <c r="IL12" s="816"/>
      <c r="IM12" s="816"/>
      <c r="IN12" s="816"/>
      <c r="IO12" s="816"/>
      <c r="IP12" s="816"/>
      <c r="IQ12" s="816"/>
      <c r="IR12" s="816"/>
      <c r="IS12" s="816"/>
      <c r="IT12" s="816"/>
      <c r="IU12" s="816"/>
      <c r="IV12" s="816"/>
    </row>
    <row r="13" spans="1:256">
      <c r="A13" s="820">
        <f>+A12+1</f>
        <v>3</v>
      </c>
      <c r="B13" s="822" t="s">
        <v>508</v>
      </c>
      <c r="C13" s="822"/>
      <c r="D13" s="822"/>
      <c r="E13" s="822" t="str">
        <f>"Line "&amp;A11&amp;" less Line "&amp;A12</f>
        <v>Line 1 less Line 2</v>
      </c>
      <c r="F13" s="818"/>
      <c r="G13" s="816"/>
      <c r="H13" s="823">
        <f>+H11-H12</f>
        <v>0</v>
      </c>
      <c r="I13" s="818"/>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6"/>
      <c r="AM13" s="816"/>
      <c r="AN13" s="816"/>
      <c r="AO13" s="816"/>
      <c r="AP13" s="816"/>
      <c r="AQ13" s="816"/>
      <c r="AR13" s="816"/>
      <c r="AS13" s="816"/>
      <c r="AT13" s="816"/>
      <c r="AU13" s="816"/>
      <c r="AV13" s="816"/>
      <c r="AW13" s="816"/>
      <c r="AX13" s="816"/>
      <c r="AY13" s="816"/>
      <c r="AZ13" s="816"/>
      <c r="BA13" s="816"/>
      <c r="BB13" s="816"/>
      <c r="BC13" s="816"/>
      <c r="BD13" s="816"/>
      <c r="BE13" s="816"/>
      <c r="BF13" s="816"/>
      <c r="BG13" s="816"/>
      <c r="BH13" s="816"/>
      <c r="BI13" s="816"/>
      <c r="BJ13" s="816"/>
      <c r="BK13" s="816"/>
      <c r="BL13" s="816"/>
      <c r="BM13" s="816"/>
      <c r="BN13" s="816"/>
      <c r="BO13" s="816"/>
      <c r="BP13" s="816"/>
      <c r="BQ13" s="816"/>
      <c r="BR13" s="816"/>
      <c r="BS13" s="816"/>
      <c r="BT13" s="816"/>
      <c r="BU13" s="816"/>
      <c r="BV13" s="816"/>
      <c r="BW13" s="816"/>
      <c r="BX13" s="816"/>
      <c r="BY13" s="816"/>
      <c r="BZ13" s="816"/>
      <c r="CA13" s="816"/>
      <c r="CB13" s="816"/>
      <c r="CC13" s="816"/>
      <c r="CD13" s="816"/>
      <c r="CE13" s="816"/>
      <c r="CF13" s="816"/>
      <c r="CG13" s="816"/>
      <c r="CH13" s="816"/>
      <c r="CI13" s="816"/>
      <c r="CJ13" s="816"/>
      <c r="CK13" s="816"/>
      <c r="CL13" s="816"/>
      <c r="CM13" s="816"/>
      <c r="CN13" s="816"/>
      <c r="CO13" s="816"/>
      <c r="CP13" s="816"/>
      <c r="CQ13" s="816"/>
      <c r="CR13" s="816"/>
      <c r="CS13" s="816"/>
      <c r="CT13" s="816"/>
      <c r="CU13" s="816"/>
      <c r="CV13" s="816"/>
      <c r="CW13" s="816"/>
      <c r="CX13" s="816"/>
      <c r="CY13" s="816"/>
      <c r="CZ13" s="816"/>
      <c r="DA13" s="816"/>
      <c r="DB13" s="816"/>
      <c r="DC13" s="816"/>
      <c r="DD13" s="816"/>
      <c r="DE13" s="816"/>
      <c r="DF13" s="816"/>
      <c r="DG13" s="816"/>
      <c r="DH13" s="816"/>
      <c r="DI13" s="816"/>
      <c r="DJ13" s="816"/>
      <c r="DK13" s="816"/>
      <c r="DL13" s="816"/>
      <c r="DM13" s="816"/>
      <c r="DN13" s="816"/>
      <c r="DO13" s="816"/>
      <c r="DP13" s="816"/>
      <c r="DQ13" s="816"/>
      <c r="DR13" s="816"/>
      <c r="DS13" s="816"/>
      <c r="DT13" s="816"/>
      <c r="DU13" s="816"/>
      <c r="DV13" s="816"/>
      <c r="DW13" s="816"/>
      <c r="DX13" s="816"/>
      <c r="DY13" s="816"/>
      <c r="DZ13" s="816"/>
      <c r="EA13" s="816"/>
      <c r="EB13" s="816"/>
      <c r="EC13" s="816"/>
      <c r="ED13" s="816"/>
      <c r="EE13" s="816"/>
      <c r="EF13" s="816"/>
      <c r="EG13" s="816"/>
      <c r="EH13" s="816"/>
      <c r="EI13" s="816"/>
      <c r="EJ13" s="816"/>
      <c r="EK13" s="816"/>
      <c r="EL13" s="816"/>
      <c r="EM13" s="816"/>
      <c r="EN13" s="816"/>
      <c r="EO13" s="816"/>
      <c r="EP13" s="816"/>
      <c r="EQ13" s="816"/>
      <c r="ER13" s="816"/>
      <c r="ES13" s="816"/>
      <c r="ET13" s="816"/>
      <c r="EU13" s="816"/>
      <c r="EV13" s="816"/>
      <c r="EW13" s="816"/>
      <c r="EX13" s="816"/>
      <c r="EY13" s="816"/>
      <c r="EZ13" s="816"/>
      <c r="FA13" s="816"/>
      <c r="FB13" s="816"/>
      <c r="FC13" s="816"/>
      <c r="FD13" s="816"/>
      <c r="FE13" s="816"/>
      <c r="FF13" s="816"/>
      <c r="FG13" s="816"/>
      <c r="FH13" s="816"/>
      <c r="FI13" s="816"/>
      <c r="FJ13" s="816"/>
      <c r="FK13" s="816"/>
      <c r="FL13" s="816"/>
      <c r="FM13" s="816"/>
      <c r="FN13" s="816"/>
      <c r="FO13" s="816"/>
      <c r="FP13" s="816"/>
      <c r="FQ13" s="816"/>
      <c r="FR13" s="816"/>
      <c r="FS13" s="816"/>
      <c r="FT13" s="816"/>
      <c r="FU13" s="816"/>
      <c r="FV13" s="816"/>
      <c r="FW13" s="816"/>
      <c r="FX13" s="816"/>
      <c r="FY13" s="816"/>
      <c r="FZ13" s="816"/>
      <c r="GA13" s="816"/>
      <c r="GB13" s="816"/>
      <c r="GC13" s="816"/>
      <c r="GD13" s="816"/>
      <c r="GE13" s="816"/>
      <c r="GF13" s="816"/>
      <c r="GG13" s="816"/>
      <c r="GH13" s="816"/>
      <c r="GI13" s="816"/>
      <c r="GJ13" s="816"/>
      <c r="GK13" s="816"/>
      <c r="GL13" s="816"/>
      <c r="GM13" s="816"/>
      <c r="GN13" s="816"/>
      <c r="GO13" s="816"/>
      <c r="GP13" s="816"/>
      <c r="GQ13" s="816"/>
      <c r="GR13" s="816"/>
      <c r="GS13" s="816"/>
      <c r="GT13" s="816"/>
      <c r="GU13" s="816"/>
      <c r="GV13" s="816"/>
      <c r="GW13" s="816"/>
      <c r="GX13" s="816"/>
      <c r="GY13" s="816"/>
      <c r="GZ13" s="816"/>
      <c r="HA13" s="816"/>
      <c r="HB13" s="816"/>
      <c r="HC13" s="816"/>
      <c r="HD13" s="816"/>
      <c r="HE13" s="816"/>
      <c r="HF13" s="816"/>
      <c r="HG13" s="816"/>
      <c r="HH13" s="816"/>
      <c r="HI13" s="816"/>
      <c r="HJ13" s="816"/>
      <c r="HK13" s="816"/>
      <c r="HL13" s="816"/>
      <c r="HM13" s="816"/>
      <c r="HN13" s="816"/>
      <c r="HO13" s="816"/>
      <c r="HP13" s="816"/>
      <c r="HQ13" s="816"/>
      <c r="HR13" s="816"/>
      <c r="HS13" s="816"/>
      <c r="HT13" s="816"/>
      <c r="HU13" s="816"/>
      <c r="HV13" s="816"/>
      <c r="HW13" s="816"/>
      <c r="HX13" s="816"/>
      <c r="HY13" s="816"/>
      <c r="HZ13" s="816"/>
      <c r="IA13" s="816"/>
      <c r="IB13" s="816"/>
      <c r="IC13" s="816"/>
      <c r="ID13" s="816"/>
      <c r="IE13" s="816"/>
      <c r="IF13" s="816"/>
      <c r="IG13" s="816"/>
      <c r="IH13" s="816"/>
      <c r="II13" s="816"/>
      <c r="IJ13" s="816"/>
      <c r="IK13" s="816"/>
      <c r="IL13" s="816"/>
      <c r="IM13" s="816"/>
      <c r="IN13" s="816"/>
      <c r="IO13" s="816"/>
      <c r="IP13" s="816"/>
      <c r="IQ13" s="816"/>
      <c r="IR13" s="816"/>
      <c r="IS13" s="816"/>
      <c r="IT13" s="816"/>
      <c r="IU13" s="816"/>
      <c r="IV13" s="816"/>
    </row>
    <row r="14" spans="1:256">
      <c r="A14" s="820">
        <f>+A13+1</f>
        <v>4</v>
      </c>
      <c r="B14" s="822" t="s">
        <v>509</v>
      </c>
      <c r="C14" s="822"/>
      <c r="D14" s="822"/>
      <c r="E14" s="822" t="str">
        <f>"Line "&amp;A13&amp;" / 12"</f>
        <v>Line 3 / 12</v>
      </c>
      <c r="F14" s="818"/>
      <c r="G14" s="816"/>
      <c r="H14" s="824">
        <f>+H13/12</f>
        <v>0</v>
      </c>
      <c r="I14" s="818"/>
      <c r="J14" s="816"/>
      <c r="K14" s="816"/>
      <c r="L14" s="816"/>
      <c r="M14" s="816"/>
      <c r="N14" s="816"/>
      <c r="O14" s="816"/>
      <c r="P14" s="816"/>
      <c r="Q14" s="816"/>
      <c r="R14" s="816"/>
      <c r="S14" s="816"/>
      <c r="T14" s="816"/>
      <c r="U14" s="816"/>
      <c r="V14" s="816"/>
      <c r="W14" s="816"/>
      <c r="X14" s="816"/>
      <c r="Y14" s="816"/>
      <c r="Z14" s="816"/>
      <c r="AA14" s="816"/>
      <c r="AB14" s="816"/>
      <c r="AC14" s="816"/>
      <c r="AD14" s="816"/>
      <c r="AE14" s="816"/>
      <c r="AF14" s="816"/>
      <c r="AG14" s="816"/>
      <c r="AH14" s="816"/>
      <c r="AI14" s="816"/>
      <c r="AJ14" s="816"/>
      <c r="AK14" s="816"/>
      <c r="AL14" s="816"/>
      <c r="AM14" s="816"/>
      <c r="AN14" s="816"/>
      <c r="AO14" s="816"/>
      <c r="AP14" s="816"/>
      <c r="AQ14" s="816"/>
      <c r="AR14" s="816"/>
      <c r="AS14" s="816"/>
      <c r="AT14" s="816"/>
      <c r="AU14" s="816"/>
      <c r="AV14" s="816"/>
      <c r="AW14" s="816"/>
      <c r="AX14" s="816"/>
      <c r="AY14" s="816"/>
      <c r="AZ14" s="816"/>
      <c r="BA14" s="816"/>
      <c r="BB14" s="816"/>
      <c r="BC14" s="816"/>
      <c r="BD14" s="816"/>
      <c r="BE14" s="816"/>
      <c r="BF14" s="816"/>
      <c r="BG14" s="816"/>
      <c r="BH14" s="816"/>
      <c r="BI14" s="816"/>
      <c r="BJ14" s="816"/>
      <c r="BK14" s="816"/>
      <c r="BL14" s="816"/>
      <c r="BM14" s="816"/>
      <c r="BN14" s="816"/>
      <c r="BO14" s="816"/>
      <c r="BP14" s="816"/>
      <c r="BQ14" s="816"/>
      <c r="BR14" s="816"/>
      <c r="BS14" s="816"/>
      <c r="BT14" s="816"/>
      <c r="BU14" s="816"/>
      <c r="BV14" s="816"/>
      <c r="BW14" s="816"/>
      <c r="BX14" s="816"/>
      <c r="BY14" s="816"/>
      <c r="BZ14" s="816"/>
      <c r="CA14" s="816"/>
      <c r="CB14" s="816"/>
      <c r="CC14" s="816"/>
      <c r="CD14" s="816"/>
      <c r="CE14" s="816"/>
      <c r="CF14" s="816"/>
      <c r="CG14" s="816"/>
      <c r="CH14" s="816"/>
      <c r="CI14" s="816"/>
      <c r="CJ14" s="816"/>
      <c r="CK14" s="816"/>
      <c r="CL14" s="816"/>
      <c r="CM14" s="816"/>
      <c r="CN14" s="816"/>
      <c r="CO14" s="816"/>
      <c r="CP14" s="816"/>
      <c r="CQ14" s="816"/>
      <c r="CR14" s="816"/>
      <c r="CS14" s="816"/>
      <c r="CT14" s="816"/>
      <c r="CU14" s="816"/>
      <c r="CV14" s="816"/>
      <c r="CW14" s="816"/>
      <c r="CX14" s="816"/>
      <c r="CY14" s="816"/>
      <c r="CZ14" s="816"/>
      <c r="DA14" s="816"/>
      <c r="DB14" s="816"/>
      <c r="DC14" s="816"/>
      <c r="DD14" s="816"/>
      <c r="DE14" s="816"/>
      <c r="DF14" s="816"/>
      <c r="DG14" s="816"/>
      <c r="DH14" s="816"/>
      <c r="DI14" s="816"/>
      <c r="DJ14" s="816"/>
      <c r="DK14" s="816"/>
      <c r="DL14" s="816"/>
      <c r="DM14" s="816"/>
      <c r="DN14" s="816"/>
      <c r="DO14" s="816"/>
      <c r="DP14" s="816"/>
      <c r="DQ14" s="816"/>
      <c r="DR14" s="816"/>
      <c r="DS14" s="816"/>
      <c r="DT14" s="816"/>
      <c r="DU14" s="816"/>
      <c r="DV14" s="816"/>
      <c r="DW14" s="816"/>
      <c r="DX14" s="816"/>
      <c r="DY14" s="816"/>
      <c r="DZ14" s="816"/>
      <c r="EA14" s="816"/>
      <c r="EB14" s="816"/>
      <c r="EC14" s="816"/>
      <c r="ED14" s="816"/>
      <c r="EE14" s="816"/>
      <c r="EF14" s="816"/>
      <c r="EG14" s="816"/>
      <c r="EH14" s="816"/>
      <c r="EI14" s="816"/>
      <c r="EJ14" s="816"/>
      <c r="EK14" s="816"/>
      <c r="EL14" s="816"/>
      <c r="EM14" s="816"/>
      <c r="EN14" s="816"/>
      <c r="EO14" s="816"/>
      <c r="EP14" s="816"/>
      <c r="EQ14" s="816"/>
      <c r="ER14" s="816"/>
      <c r="ES14" s="816"/>
      <c r="ET14" s="816"/>
      <c r="EU14" s="816"/>
      <c r="EV14" s="816"/>
      <c r="EW14" s="816"/>
      <c r="EX14" s="816"/>
      <c r="EY14" s="816"/>
      <c r="EZ14" s="816"/>
      <c r="FA14" s="816"/>
      <c r="FB14" s="816"/>
      <c r="FC14" s="816"/>
      <c r="FD14" s="816"/>
      <c r="FE14" s="816"/>
      <c r="FF14" s="816"/>
      <c r="FG14" s="816"/>
      <c r="FH14" s="816"/>
      <c r="FI14" s="816"/>
      <c r="FJ14" s="816"/>
      <c r="FK14" s="816"/>
      <c r="FL14" s="816"/>
      <c r="FM14" s="816"/>
      <c r="FN14" s="816"/>
      <c r="FO14" s="816"/>
      <c r="FP14" s="816"/>
      <c r="FQ14" s="816"/>
      <c r="FR14" s="816"/>
      <c r="FS14" s="816"/>
      <c r="FT14" s="816"/>
      <c r="FU14" s="816"/>
      <c r="FV14" s="816"/>
      <c r="FW14" s="816"/>
      <c r="FX14" s="816"/>
      <c r="FY14" s="816"/>
      <c r="FZ14" s="816"/>
      <c r="GA14" s="816"/>
      <c r="GB14" s="816"/>
      <c r="GC14" s="816"/>
      <c r="GD14" s="816"/>
      <c r="GE14" s="816"/>
      <c r="GF14" s="816"/>
      <c r="GG14" s="816"/>
      <c r="GH14" s="816"/>
      <c r="GI14" s="816"/>
      <c r="GJ14" s="816"/>
      <c r="GK14" s="816"/>
      <c r="GL14" s="816"/>
      <c r="GM14" s="816"/>
      <c r="GN14" s="816"/>
      <c r="GO14" s="816"/>
      <c r="GP14" s="816"/>
      <c r="GQ14" s="816"/>
      <c r="GR14" s="816"/>
      <c r="GS14" s="816"/>
      <c r="GT14" s="816"/>
      <c r="GU14" s="816"/>
      <c r="GV14" s="816"/>
      <c r="GW14" s="816"/>
      <c r="GX14" s="816"/>
      <c r="GY14" s="816"/>
      <c r="GZ14" s="816"/>
      <c r="HA14" s="816"/>
      <c r="HB14" s="816"/>
      <c r="HC14" s="816"/>
      <c r="HD14" s="816"/>
      <c r="HE14" s="816"/>
      <c r="HF14" s="816"/>
      <c r="HG14" s="816"/>
      <c r="HH14" s="816"/>
      <c r="HI14" s="816"/>
      <c r="HJ14" s="816"/>
      <c r="HK14" s="816"/>
      <c r="HL14" s="816"/>
      <c r="HM14" s="816"/>
      <c r="HN14" s="816"/>
      <c r="HO14" s="816"/>
      <c r="HP14" s="816"/>
      <c r="HQ14" s="816"/>
      <c r="HR14" s="816"/>
      <c r="HS14" s="816"/>
      <c r="HT14" s="816"/>
      <c r="HU14" s="816"/>
      <c r="HV14" s="816"/>
      <c r="HW14" s="816"/>
      <c r="HX14" s="816"/>
      <c r="HY14" s="816"/>
      <c r="HZ14" s="816"/>
      <c r="IA14" s="816"/>
      <c r="IB14" s="816"/>
      <c r="IC14" s="816"/>
      <c r="ID14" s="816"/>
      <c r="IE14" s="816"/>
      <c r="IF14" s="816"/>
      <c r="IG14" s="816"/>
      <c r="IH14" s="816"/>
      <c r="II14" s="816"/>
      <c r="IJ14" s="816"/>
      <c r="IK14" s="816"/>
      <c r="IL14" s="816"/>
      <c r="IM14" s="816"/>
      <c r="IN14" s="816"/>
      <c r="IO14" s="816"/>
      <c r="IP14" s="816"/>
      <c r="IQ14" s="816"/>
      <c r="IR14" s="816"/>
      <c r="IS14" s="816"/>
      <c r="IT14" s="816"/>
      <c r="IU14" s="816"/>
      <c r="IV14" s="816"/>
    </row>
    <row r="15" spans="1:256">
      <c r="A15" s="822"/>
      <c r="B15" s="822"/>
      <c r="C15" s="822"/>
      <c r="D15" s="822"/>
      <c r="E15" s="818"/>
      <c r="F15" s="818"/>
      <c r="G15" s="818"/>
      <c r="H15" s="818"/>
      <c r="I15" s="818"/>
      <c r="J15" s="816"/>
      <c r="K15" s="816"/>
      <c r="L15" s="816"/>
      <c r="M15" s="816"/>
      <c r="N15" s="816"/>
      <c r="O15" s="816"/>
      <c r="P15" s="816"/>
      <c r="Q15" s="816"/>
      <c r="R15" s="816"/>
      <c r="S15" s="816"/>
      <c r="T15" s="816"/>
      <c r="U15" s="816"/>
      <c r="V15" s="816"/>
      <c r="W15" s="816"/>
      <c r="X15" s="816"/>
      <c r="Y15" s="816"/>
      <c r="Z15" s="816"/>
      <c r="AA15" s="816"/>
      <c r="AB15" s="816"/>
      <c r="AC15" s="816"/>
      <c r="AD15" s="816"/>
      <c r="AE15" s="816"/>
      <c r="AF15" s="816"/>
      <c r="AG15" s="816"/>
      <c r="AH15" s="816"/>
      <c r="AI15" s="816"/>
      <c r="AJ15" s="816"/>
      <c r="AK15" s="816"/>
      <c r="AL15" s="816"/>
      <c r="AM15" s="816"/>
      <c r="AN15" s="816"/>
      <c r="AO15" s="816"/>
      <c r="AP15" s="816"/>
      <c r="AQ15" s="816"/>
      <c r="AR15" s="816"/>
      <c r="AS15" s="816"/>
      <c r="AT15" s="816"/>
      <c r="AU15" s="816"/>
      <c r="AV15" s="816"/>
      <c r="AW15" s="816"/>
      <c r="AX15" s="816"/>
      <c r="AY15" s="816"/>
      <c r="AZ15" s="816"/>
      <c r="BA15" s="816"/>
      <c r="BB15" s="816"/>
      <c r="BC15" s="816"/>
      <c r="BD15" s="816"/>
      <c r="BE15" s="816"/>
      <c r="BF15" s="816"/>
      <c r="BG15" s="816"/>
      <c r="BH15" s="816"/>
      <c r="BI15" s="816"/>
      <c r="BJ15" s="816"/>
      <c r="BK15" s="816"/>
      <c r="BL15" s="816"/>
      <c r="BM15" s="816"/>
      <c r="BN15" s="816"/>
      <c r="BO15" s="816"/>
      <c r="BP15" s="816"/>
      <c r="BQ15" s="816"/>
      <c r="BR15" s="816"/>
      <c r="BS15" s="816"/>
      <c r="BT15" s="816"/>
      <c r="BU15" s="816"/>
      <c r="BV15" s="816"/>
      <c r="BW15" s="816"/>
      <c r="BX15" s="816"/>
      <c r="BY15" s="816"/>
      <c r="BZ15" s="816"/>
      <c r="CA15" s="816"/>
      <c r="CB15" s="816"/>
      <c r="CC15" s="816"/>
      <c r="CD15" s="816"/>
      <c r="CE15" s="816"/>
      <c r="CF15" s="816"/>
      <c r="CG15" s="816"/>
      <c r="CH15" s="816"/>
      <c r="CI15" s="816"/>
      <c r="CJ15" s="816"/>
      <c r="CK15" s="816"/>
      <c r="CL15" s="816"/>
      <c r="CM15" s="816"/>
      <c r="CN15" s="816"/>
      <c r="CO15" s="816"/>
      <c r="CP15" s="816"/>
      <c r="CQ15" s="816"/>
      <c r="CR15" s="816"/>
      <c r="CS15" s="816"/>
      <c r="CT15" s="816"/>
      <c r="CU15" s="816"/>
      <c r="CV15" s="816"/>
      <c r="CW15" s="816"/>
      <c r="CX15" s="816"/>
      <c r="CY15" s="816"/>
      <c r="CZ15" s="816"/>
      <c r="DA15" s="816"/>
      <c r="DB15" s="816"/>
      <c r="DC15" s="816"/>
      <c r="DD15" s="816"/>
      <c r="DE15" s="816"/>
      <c r="DF15" s="816"/>
      <c r="DG15" s="816"/>
      <c r="DH15" s="816"/>
      <c r="DI15" s="816"/>
      <c r="DJ15" s="816"/>
      <c r="DK15" s="816"/>
      <c r="DL15" s="816"/>
      <c r="DM15" s="816"/>
      <c r="DN15" s="816"/>
      <c r="DO15" s="816"/>
      <c r="DP15" s="816"/>
      <c r="DQ15" s="816"/>
      <c r="DR15" s="816"/>
      <c r="DS15" s="816"/>
      <c r="DT15" s="816"/>
      <c r="DU15" s="816"/>
      <c r="DV15" s="816"/>
      <c r="DW15" s="816"/>
      <c r="DX15" s="816"/>
      <c r="DY15" s="816"/>
      <c r="DZ15" s="816"/>
      <c r="EA15" s="816"/>
      <c r="EB15" s="816"/>
      <c r="EC15" s="816"/>
      <c r="ED15" s="816"/>
      <c r="EE15" s="816"/>
      <c r="EF15" s="816"/>
      <c r="EG15" s="816"/>
      <c r="EH15" s="816"/>
      <c r="EI15" s="816"/>
      <c r="EJ15" s="816"/>
      <c r="EK15" s="816"/>
      <c r="EL15" s="816"/>
      <c r="EM15" s="816"/>
      <c r="EN15" s="816"/>
      <c r="EO15" s="816"/>
      <c r="EP15" s="816"/>
      <c r="EQ15" s="816"/>
      <c r="ER15" s="816"/>
      <c r="ES15" s="816"/>
      <c r="ET15" s="816"/>
      <c r="EU15" s="816"/>
      <c r="EV15" s="816"/>
      <c r="EW15" s="816"/>
      <c r="EX15" s="816"/>
      <c r="EY15" s="816"/>
      <c r="EZ15" s="816"/>
      <c r="FA15" s="816"/>
      <c r="FB15" s="816"/>
      <c r="FC15" s="816"/>
      <c r="FD15" s="816"/>
      <c r="FE15" s="816"/>
      <c r="FF15" s="816"/>
      <c r="FG15" s="816"/>
      <c r="FH15" s="816"/>
      <c r="FI15" s="816"/>
      <c r="FJ15" s="816"/>
      <c r="FK15" s="816"/>
      <c r="FL15" s="816"/>
      <c r="FM15" s="816"/>
      <c r="FN15" s="816"/>
      <c r="FO15" s="816"/>
      <c r="FP15" s="816"/>
      <c r="FQ15" s="816"/>
      <c r="FR15" s="816"/>
      <c r="FS15" s="816"/>
      <c r="FT15" s="816"/>
      <c r="FU15" s="816"/>
      <c r="FV15" s="816"/>
      <c r="FW15" s="816"/>
      <c r="FX15" s="816"/>
      <c r="FY15" s="816"/>
      <c r="FZ15" s="816"/>
      <c r="GA15" s="816"/>
      <c r="GB15" s="816"/>
      <c r="GC15" s="816"/>
      <c r="GD15" s="816"/>
      <c r="GE15" s="816"/>
      <c r="GF15" s="816"/>
      <c r="GG15" s="816"/>
      <c r="GH15" s="816"/>
      <c r="GI15" s="816"/>
      <c r="GJ15" s="816"/>
      <c r="GK15" s="816"/>
      <c r="GL15" s="816"/>
      <c r="GM15" s="816"/>
      <c r="GN15" s="816"/>
      <c r="GO15" s="816"/>
      <c r="GP15" s="816"/>
      <c r="GQ15" s="816"/>
      <c r="GR15" s="816"/>
      <c r="GS15" s="816"/>
      <c r="GT15" s="816"/>
      <c r="GU15" s="816"/>
      <c r="GV15" s="816"/>
      <c r="GW15" s="816"/>
      <c r="GX15" s="816"/>
      <c r="GY15" s="816"/>
      <c r="GZ15" s="816"/>
      <c r="HA15" s="816"/>
      <c r="HB15" s="816"/>
      <c r="HC15" s="816"/>
      <c r="HD15" s="816"/>
      <c r="HE15" s="816"/>
      <c r="HF15" s="816"/>
      <c r="HG15" s="816"/>
      <c r="HH15" s="816"/>
      <c r="HI15" s="816"/>
      <c r="HJ15" s="816"/>
      <c r="HK15" s="816"/>
      <c r="HL15" s="816"/>
      <c r="HM15" s="816"/>
      <c r="HN15" s="816"/>
      <c r="HO15" s="816"/>
      <c r="HP15" s="816"/>
      <c r="HQ15" s="816"/>
      <c r="HR15" s="816"/>
      <c r="HS15" s="816"/>
      <c r="HT15" s="816"/>
      <c r="HU15" s="816"/>
      <c r="HV15" s="816"/>
      <c r="HW15" s="816"/>
      <c r="HX15" s="816"/>
      <c r="HY15" s="816"/>
      <c r="HZ15" s="816"/>
      <c r="IA15" s="816"/>
      <c r="IB15" s="816"/>
      <c r="IC15" s="816"/>
      <c r="ID15" s="816"/>
      <c r="IE15" s="816"/>
      <c r="IF15" s="816"/>
      <c r="IG15" s="816"/>
      <c r="IH15" s="816"/>
      <c r="II15" s="816"/>
      <c r="IJ15" s="816"/>
      <c r="IK15" s="816"/>
      <c r="IL15" s="816"/>
      <c r="IM15" s="816"/>
      <c r="IN15" s="816"/>
      <c r="IO15" s="816"/>
      <c r="IP15" s="816"/>
      <c r="IQ15" s="816"/>
      <c r="IR15" s="816"/>
      <c r="IS15" s="816"/>
      <c r="IT15" s="816"/>
      <c r="IU15" s="816"/>
      <c r="IV15" s="816"/>
    </row>
    <row r="16" spans="1:256" ht="15">
      <c r="A16" s="816"/>
      <c r="B16" s="825" t="s">
        <v>301</v>
      </c>
      <c r="C16" s="825" t="s">
        <v>302</v>
      </c>
      <c r="D16" s="825" t="s">
        <v>47</v>
      </c>
      <c r="E16" s="825" t="s">
        <v>304</v>
      </c>
      <c r="F16" s="825" t="s">
        <v>229</v>
      </c>
      <c r="G16" s="825" t="s">
        <v>230</v>
      </c>
      <c r="H16" s="825" t="s">
        <v>231</v>
      </c>
      <c r="I16" s="825" t="s">
        <v>236</v>
      </c>
      <c r="J16" s="816"/>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816"/>
      <c r="BA16" s="816"/>
      <c r="BB16" s="816"/>
      <c r="BC16" s="816"/>
      <c r="BD16" s="816"/>
      <c r="BE16" s="816"/>
      <c r="BF16" s="816"/>
      <c r="BG16" s="816"/>
      <c r="BH16" s="816"/>
      <c r="BI16" s="816"/>
      <c r="BJ16" s="816"/>
      <c r="BK16" s="816"/>
      <c r="BL16" s="816"/>
      <c r="BM16" s="816"/>
      <c r="BN16" s="816"/>
      <c r="BO16" s="816"/>
      <c r="BP16" s="816"/>
      <c r="BQ16" s="816"/>
      <c r="BR16" s="816"/>
      <c r="BS16" s="816"/>
      <c r="BT16" s="816"/>
      <c r="BU16" s="816"/>
      <c r="BV16" s="816"/>
      <c r="BW16" s="816"/>
      <c r="BX16" s="816"/>
      <c r="BY16" s="816"/>
      <c r="BZ16" s="816"/>
      <c r="CA16" s="816"/>
      <c r="CB16" s="816"/>
      <c r="CC16" s="816"/>
      <c r="CD16" s="816"/>
      <c r="CE16" s="816"/>
      <c r="CF16" s="816"/>
      <c r="CG16" s="816"/>
      <c r="CH16" s="816"/>
      <c r="CI16" s="816"/>
      <c r="CJ16" s="816"/>
      <c r="CK16" s="816"/>
      <c r="CL16" s="816"/>
      <c r="CM16" s="816"/>
      <c r="CN16" s="816"/>
      <c r="CO16" s="816"/>
      <c r="CP16" s="816"/>
      <c r="CQ16" s="816"/>
      <c r="CR16" s="816"/>
      <c r="CS16" s="816"/>
      <c r="CT16" s="816"/>
      <c r="CU16" s="816"/>
      <c r="CV16" s="816"/>
      <c r="CW16" s="816"/>
      <c r="CX16" s="816"/>
      <c r="CY16" s="816"/>
      <c r="CZ16" s="816"/>
      <c r="DA16" s="816"/>
      <c r="DB16" s="816"/>
      <c r="DC16" s="816"/>
      <c r="DD16" s="816"/>
      <c r="DE16" s="816"/>
      <c r="DF16" s="816"/>
      <c r="DG16" s="816"/>
      <c r="DH16" s="816"/>
      <c r="DI16" s="816"/>
      <c r="DJ16" s="816"/>
      <c r="DK16" s="816"/>
      <c r="DL16" s="816"/>
      <c r="DM16" s="816"/>
      <c r="DN16" s="816"/>
      <c r="DO16" s="816"/>
      <c r="DP16" s="816"/>
      <c r="DQ16" s="816"/>
      <c r="DR16" s="816"/>
      <c r="DS16" s="816"/>
      <c r="DT16" s="816"/>
      <c r="DU16" s="816"/>
      <c r="DV16" s="816"/>
      <c r="DW16" s="816"/>
      <c r="DX16" s="816"/>
      <c r="DY16" s="816"/>
      <c r="DZ16" s="816"/>
      <c r="EA16" s="816"/>
      <c r="EB16" s="816"/>
      <c r="EC16" s="816"/>
      <c r="ED16" s="816"/>
      <c r="EE16" s="816"/>
      <c r="EF16" s="816"/>
      <c r="EG16" s="816"/>
      <c r="EH16" s="816"/>
      <c r="EI16" s="816"/>
      <c r="EJ16" s="816"/>
      <c r="EK16" s="816"/>
      <c r="EL16" s="816"/>
      <c r="EM16" s="816"/>
      <c r="EN16" s="816"/>
      <c r="EO16" s="816"/>
      <c r="EP16" s="816"/>
      <c r="EQ16" s="816"/>
      <c r="ER16" s="816"/>
      <c r="ES16" s="816"/>
      <c r="ET16" s="816"/>
      <c r="EU16" s="816"/>
      <c r="EV16" s="816"/>
      <c r="EW16" s="816"/>
      <c r="EX16" s="816"/>
      <c r="EY16" s="816"/>
      <c r="EZ16" s="816"/>
      <c r="FA16" s="816"/>
      <c r="FB16" s="816"/>
      <c r="FC16" s="816"/>
      <c r="FD16" s="816"/>
      <c r="FE16" s="816"/>
      <c r="FF16" s="816"/>
      <c r="FG16" s="816"/>
      <c r="FH16" s="816"/>
      <c r="FI16" s="816"/>
      <c r="FJ16" s="816"/>
      <c r="FK16" s="816"/>
      <c r="FL16" s="816"/>
      <c r="FM16" s="816"/>
      <c r="FN16" s="816"/>
      <c r="FO16" s="816"/>
      <c r="FP16" s="816"/>
      <c r="FQ16" s="816"/>
      <c r="FR16" s="816"/>
      <c r="FS16" s="816"/>
      <c r="FT16" s="816"/>
      <c r="FU16" s="816"/>
      <c r="FV16" s="816"/>
      <c r="FW16" s="816"/>
      <c r="FX16" s="816"/>
      <c r="FY16" s="816"/>
      <c r="FZ16" s="816"/>
      <c r="GA16" s="816"/>
      <c r="GB16" s="816"/>
      <c r="GC16" s="816"/>
      <c r="GD16" s="816"/>
      <c r="GE16" s="816"/>
      <c r="GF16" s="816"/>
      <c r="GG16" s="816"/>
      <c r="GH16" s="816"/>
      <c r="GI16" s="816"/>
      <c r="GJ16" s="816"/>
      <c r="GK16" s="816"/>
      <c r="GL16" s="816"/>
      <c r="GM16" s="816"/>
      <c r="GN16" s="816"/>
      <c r="GO16" s="816"/>
      <c r="GP16" s="816"/>
      <c r="GQ16" s="816"/>
      <c r="GR16" s="816"/>
      <c r="GS16" s="816"/>
      <c r="GT16" s="816"/>
      <c r="GU16" s="816"/>
      <c r="GV16" s="816"/>
      <c r="GW16" s="816"/>
      <c r="GX16" s="816"/>
      <c r="GY16" s="816"/>
      <c r="GZ16" s="816"/>
      <c r="HA16" s="816"/>
      <c r="HB16" s="816"/>
      <c r="HC16" s="816"/>
      <c r="HD16" s="816"/>
      <c r="HE16" s="816"/>
      <c r="HF16" s="816"/>
      <c r="HG16" s="816"/>
      <c r="HH16" s="816"/>
      <c r="HI16" s="816"/>
      <c r="HJ16" s="816"/>
      <c r="HK16" s="816"/>
      <c r="HL16" s="816"/>
      <c r="HM16" s="816"/>
      <c r="HN16" s="816"/>
      <c r="HO16" s="816"/>
      <c r="HP16" s="816"/>
      <c r="HQ16" s="816"/>
      <c r="HR16" s="816"/>
      <c r="HS16" s="816"/>
      <c r="HT16" s="816"/>
      <c r="HU16" s="816"/>
      <c r="HV16" s="816"/>
      <c r="HW16" s="816"/>
      <c r="HX16" s="816"/>
      <c r="HY16" s="816"/>
      <c r="HZ16" s="816"/>
      <c r="IA16" s="816"/>
      <c r="IB16" s="816"/>
      <c r="IC16" s="816"/>
      <c r="ID16" s="816"/>
      <c r="IE16" s="816"/>
      <c r="IF16" s="816"/>
      <c r="IG16" s="816"/>
      <c r="IH16" s="816"/>
      <c r="II16" s="816"/>
      <c r="IJ16" s="816"/>
      <c r="IK16" s="816"/>
      <c r="IL16" s="816"/>
      <c r="IM16" s="816"/>
      <c r="IN16" s="816"/>
      <c r="IO16" s="816"/>
      <c r="IP16" s="816"/>
      <c r="IQ16" s="816"/>
      <c r="IR16" s="816"/>
      <c r="IS16" s="816"/>
      <c r="IT16" s="816"/>
      <c r="IU16" s="816"/>
      <c r="IV16" s="816"/>
    </row>
    <row r="17" spans="1:256" ht="38.5">
      <c r="A17" s="826" t="s">
        <v>308</v>
      </c>
      <c r="B17" s="827" t="s">
        <v>510</v>
      </c>
      <c r="C17" s="827" t="s">
        <v>511</v>
      </c>
      <c r="D17" s="827" t="s">
        <v>519</v>
      </c>
      <c r="E17" s="827" t="s">
        <v>520</v>
      </c>
      <c r="F17" s="827" t="s">
        <v>521</v>
      </c>
      <c r="G17" s="827" t="s">
        <v>522</v>
      </c>
      <c r="H17" s="827" t="s">
        <v>512</v>
      </c>
      <c r="I17" s="827" t="s">
        <v>523</v>
      </c>
      <c r="J17" s="816"/>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8"/>
      <c r="AO17" s="828"/>
      <c r="AP17" s="828"/>
      <c r="AQ17" s="828"/>
      <c r="AR17" s="828"/>
      <c r="AS17" s="828"/>
      <c r="AT17" s="828"/>
      <c r="AU17" s="828"/>
      <c r="AV17" s="828"/>
      <c r="AW17" s="828"/>
      <c r="AX17" s="828"/>
      <c r="AY17" s="828"/>
      <c r="AZ17" s="828"/>
      <c r="BA17" s="828"/>
      <c r="BB17" s="828"/>
      <c r="BC17" s="828"/>
      <c r="BD17" s="828"/>
      <c r="BE17" s="828"/>
      <c r="BF17" s="828"/>
      <c r="BG17" s="828"/>
      <c r="BH17" s="828"/>
      <c r="BI17" s="828"/>
      <c r="BJ17" s="828"/>
      <c r="BK17" s="828"/>
      <c r="BL17" s="828"/>
      <c r="BM17" s="828"/>
      <c r="BN17" s="828"/>
      <c r="BO17" s="828"/>
      <c r="BP17" s="828"/>
      <c r="BQ17" s="828"/>
      <c r="BR17" s="828"/>
      <c r="BS17" s="828"/>
      <c r="BT17" s="828"/>
      <c r="BU17" s="828"/>
      <c r="BV17" s="828"/>
      <c r="BW17" s="828"/>
      <c r="BX17" s="828"/>
      <c r="BY17" s="828"/>
      <c r="BZ17" s="828"/>
      <c r="CA17" s="828"/>
      <c r="CB17" s="828"/>
      <c r="CC17" s="828"/>
      <c r="CD17" s="828"/>
      <c r="CE17" s="828"/>
      <c r="CF17" s="828"/>
      <c r="CG17" s="828"/>
      <c r="CH17" s="828"/>
      <c r="CI17" s="828"/>
      <c r="CJ17" s="828"/>
      <c r="CK17" s="828"/>
      <c r="CL17" s="828"/>
      <c r="CM17" s="828"/>
      <c r="CN17" s="828"/>
      <c r="CO17" s="828"/>
      <c r="CP17" s="828"/>
      <c r="CQ17" s="828"/>
      <c r="CR17" s="828"/>
      <c r="CS17" s="828"/>
      <c r="CT17" s="828"/>
      <c r="CU17" s="828"/>
      <c r="CV17" s="828"/>
      <c r="CW17" s="828"/>
      <c r="CX17" s="828"/>
      <c r="CY17" s="828"/>
      <c r="CZ17" s="828"/>
      <c r="DA17" s="828"/>
      <c r="DB17" s="828"/>
      <c r="DC17" s="828"/>
      <c r="DD17" s="828"/>
      <c r="DE17" s="828"/>
      <c r="DF17" s="828"/>
      <c r="DG17" s="828"/>
      <c r="DH17" s="828"/>
      <c r="DI17" s="828"/>
      <c r="DJ17" s="828"/>
      <c r="DK17" s="828"/>
      <c r="DL17" s="828"/>
      <c r="DM17" s="828"/>
      <c r="DN17" s="828"/>
      <c r="DO17" s="828"/>
      <c r="DP17" s="828"/>
      <c r="DQ17" s="828"/>
      <c r="DR17" s="828"/>
      <c r="DS17" s="828"/>
      <c r="DT17" s="828"/>
      <c r="DU17" s="828"/>
      <c r="DV17" s="828"/>
      <c r="DW17" s="828"/>
      <c r="DX17" s="828"/>
      <c r="DY17" s="828"/>
      <c r="DZ17" s="828"/>
      <c r="EA17" s="828"/>
      <c r="EB17" s="828"/>
      <c r="EC17" s="828"/>
      <c r="ED17" s="828"/>
      <c r="EE17" s="828"/>
      <c r="EF17" s="828"/>
      <c r="EG17" s="828"/>
      <c r="EH17" s="828"/>
      <c r="EI17" s="828"/>
      <c r="EJ17" s="828"/>
      <c r="EK17" s="828"/>
      <c r="EL17" s="828"/>
      <c r="EM17" s="828"/>
      <c r="EN17" s="828"/>
      <c r="EO17" s="828"/>
      <c r="EP17" s="828"/>
      <c r="EQ17" s="828"/>
      <c r="ER17" s="828"/>
      <c r="ES17" s="828"/>
      <c r="ET17" s="828"/>
      <c r="EU17" s="828"/>
      <c r="EV17" s="828"/>
      <c r="EW17" s="828"/>
      <c r="EX17" s="828"/>
      <c r="EY17" s="828"/>
      <c r="EZ17" s="828"/>
      <c r="FA17" s="828"/>
      <c r="FB17" s="828"/>
      <c r="FC17" s="828"/>
      <c r="FD17" s="828"/>
      <c r="FE17" s="828"/>
      <c r="FF17" s="828"/>
      <c r="FG17" s="828"/>
      <c r="FH17" s="828"/>
      <c r="FI17" s="828"/>
      <c r="FJ17" s="828"/>
      <c r="FK17" s="828"/>
      <c r="FL17" s="828"/>
      <c r="FM17" s="828"/>
      <c r="FN17" s="828"/>
      <c r="FO17" s="828"/>
      <c r="FP17" s="828"/>
      <c r="FQ17" s="828"/>
      <c r="FR17" s="828"/>
      <c r="FS17" s="828"/>
      <c r="FT17" s="828"/>
      <c r="FU17" s="828"/>
      <c r="FV17" s="828"/>
      <c r="FW17" s="828"/>
      <c r="FX17" s="828"/>
      <c r="FY17" s="828"/>
      <c r="FZ17" s="828"/>
      <c r="GA17" s="828"/>
      <c r="GB17" s="828"/>
      <c r="GC17" s="828"/>
      <c r="GD17" s="828"/>
      <c r="GE17" s="828"/>
      <c r="GF17" s="828"/>
      <c r="GG17" s="828"/>
      <c r="GH17" s="828"/>
      <c r="GI17" s="828"/>
      <c r="GJ17" s="828"/>
      <c r="GK17" s="828"/>
      <c r="GL17" s="828"/>
      <c r="GM17" s="828"/>
      <c r="GN17" s="828"/>
      <c r="GO17" s="828"/>
      <c r="GP17" s="828"/>
      <c r="GQ17" s="828"/>
      <c r="GR17" s="828"/>
      <c r="GS17" s="828"/>
      <c r="GT17" s="828"/>
      <c r="GU17" s="828"/>
      <c r="GV17" s="828"/>
      <c r="GW17" s="828"/>
      <c r="GX17" s="828"/>
      <c r="GY17" s="828"/>
      <c r="GZ17" s="828"/>
      <c r="HA17" s="828"/>
      <c r="HB17" s="828"/>
      <c r="HC17" s="828"/>
      <c r="HD17" s="828"/>
      <c r="HE17" s="828"/>
      <c r="HF17" s="828"/>
      <c r="HG17" s="828"/>
      <c r="HH17" s="828"/>
      <c r="HI17" s="828"/>
      <c r="HJ17" s="828"/>
      <c r="HK17" s="828"/>
      <c r="HL17" s="828"/>
      <c r="HM17" s="828"/>
      <c r="HN17" s="828"/>
      <c r="HO17" s="828"/>
      <c r="HP17" s="828"/>
      <c r="HQ17" s="828"/>
      <c r="HR17" s="828"/>
      <c r="HS17" s="828"/>
      <c r="HT17" s="828"/>
      <c r="HU17" s="828"/>
      <c r="HV17" s="828"/>
      <c r="HW17" s="828"/>
      <c r="HX17" s="828"/>
      <c r="HY17" s="828"/>
      <c r="HZ17" s="828"/>
      <c r="IA17" s="828"/>
      <c r="IB17" s="828"/>
      <c r="IC17" s="828"/>
      <c r="ID17" s="828"/>
      <c r="IE17" s="828"/>
      <c r="IF17" s="828"/>
      <c r="IG17" s="828"/>
      <c r="IH17" s="828"/>
      <c r="II17" s="828"/>
      <c r="IJ17" s="828"/>
      <c r="IK17" s="828"/>
      <c r="IL17" s="828"/>
      <c r="IM17" s="828"/>
      <c r="IN17" s="828"/>
      <c r="IO17" s="828"/>
      <c r="IP17" s="828"/>
      <c r="IQ17" s="828"/>
      <c r="IR17" s="828"/>
      <c r="IS17" s="828"/>
      <c r="IT17" s="828"/>
      <c r="IU17" s="828"/>
      <c r="IV17" s="828"/>
    </row>
    <row r="18" spans="1:256">
      <c r="A18" s="820">
        <f>+A14+1</f>
        <v>5</v>
      </c>
      <c r="B18" s="817" t="s">
        <v>513</v>
      </c>
      <c r="C18" s="829">
        <f>+H12</f>
        <v>0</v>
      </c>
      <c r="D18" s="829">
        <f>C18</f>
        <v>0</v>
      </c>
      <c r="E18" s="817"/>
      <c r="F18" s="711">
        <v>365</v>
      </c>
      <c r="G18" s="830">
        <f>F18/$F$18</f>
        <v>1</v>
      </c>
      <c r="H18" s="829">
        <f>C18*G18</f>
        <v>0</v>
      </c>
      <c r="I18" s="829">
        <f>H18</f>
        <v>0</v>
      </c>
      <c r="J18" s="816"/>
      <c r="K18" s="816"/>
      <c r="L18" s="816"/>
      <c r="M18" s="816"/>
      <c r="N18" s="816"/>
      <c r="O18" s="816"/>
      <c r="P18" s="816"/>
      <c r="Q18" s="816"/>
      <c r="R18" s="816"/>
      <c r="S18" s="816"/>
      <c r="T18" s="816"/>
      <c r="U18" s="816"/>
      <c r="V18" s="816"/>
      <c r="W18" s="816"/>
      <c r="X18" s="816"/>
      <c r="Y18" s="816"/>
      <c r="Z18" s="816"/>
      <c r="AA18" s="816"/>
      <c r="AB18" s="816"/>
      <c r="AC18" s="816"/>
      <c r="AD18" s="816"/>
      <c r="AE18" s="816"/>
      <c r="AF18" s="816"/>
      <c r="AG18" s="816"/>
      <c r="AH18" s="816"/>
      <c r="AI18" s="816"/>
      <c r="AJ18" s="816"/>
      <c r="AK18" s="816"/>
      <c r="AL18" s="816"/>
      <c r="AM18" s="816"/>
      <c r="AN18" s="816"/>
      <c r="AO18" s="816"/>
      <c r="AP18" s="816"/>
      <c r="AQ18" s="816"/>
      <c r="AR18" s="816"/>
      <c r="AS18" s="816"/>
      <c r="AT18" s="816"/>
      <c r="AU18" s="816"/>
      <c r="AV18" s="816"/>
      <c r="AW18" s="816"/>
      <c r="AX18" s="816"/>
      <c r="AY18" s="816"/>
      <c r="AZ18" s="816"/>
      <c r="BA18" s="816"/>
      <c r="BB18" s="816"/>
      <c r="BC18" s="816"/>
      <c r="BD18" s="816"/>
      <c r="BE18" s="816"/>
      <c r="BF18" s="816"/>
      <c r="BG18" s="816"/>
      <c r="BH18" s="816"/>
      <c r="BI18" s="816"/>
      <c r="BJ18" s="816"/>
      <c r="BK18" s="816"/>
      <c r="BL18" s="816"/>
      <c r="BM18" s="816"/>
      <c r="BN18" s="816"/>
      <c r="BO18" s="816"/>
      <c r="BP18" s="816"/>
      <c r="BQ18" s="816"/>
      <c r="BR18" s="816"/>
      <c r="BS18" s="816"/>
      <c r="BT18" s="816"/>
      <c r="BU18" s="816"/>
      <c r="BV18" s="816"/>
      <c r="BW18" s="816"/>
      <c r="BX18" s="816"/>
      <c r="BY18" s="816"/>
      <c r="BZ18" s="816"/>
      <c r="CA18" s="816"/>
      <c r="CB18" s="816"/>
      <c r="CC18" s="816"/>
      <c r="CD18" s="816"/>
      <c r="CE18" s="816"/>
      <c r="CF18" s="816"/>
      <c r="CG18" s="816"/>
      <c r="CH18" s="816"/>
      <c r="CI18" s="816"/>
      <c r="CJ18" s="816"/>
      <c r="CK18" s="816"/>
      <c r="CL18" s="816"/>
      <c r="CM18" s="816"/>
      <c r="CN18" s="816"/>
      <c r="CO18" s="816"/>
      <c r="CP18" s="816"/>
      <c r="CQ18" s="816"/>
      <c r="CR18" s="816"/>
      <c r="CS18" s="816"/>
      <c r="CT18" s="816"/>
      <c r="CU18" s="816"/>
      <c r="CV18" s="816"/>
      <c r="CW18" s="816"/>
      <c r="CX18" s="816"/>
      <c r="CY18" s="816"/>
      <c r="CZ18" s="816"/>
      <c r="DA18" s="816"/>
      <c r="DB18" s="816"/>
      <c r="DC18" s="816"/>
      <c r="DD18" s="816"/>
      <c r="DE18" s="816"/>
      <c r="DF18" s="816"/>
      <c r="DG18" s="816"/>
      <c r="DH18" s="816"/>
      <c r="DI18" s="816"/>
      <c r="DJ18" s="816"/>
      <c r="DK18" s="816"/>
      <c r="DL18" s="816"/>
      <c r="DM18" s="816"/>
      <c r="DN18" s="816"/>
      <c r="DO18" s="816"/>
      <c r="DP18" s="816"/>
      <c r="DQ18" s="816"/>
      <c r="DR18" s="816"/>
      <c r="DS18" s="816"/>
      <c r="DT18" s="816"/>
      <c r="DU18" s="816"/>
      <c r="DV18" s="816"/>
      <c r="DW18" s="816"/>
      <c r="DX18" s="816"/>
      <c r="DY18" s="816"/>
      <c r="DZ18" s="816"/>
      <c r="EA18" s="816"/>
      <c r="EB18" s="816"/>
      <c r="EC18" s="816"/>
      <c r="ED18" s="816"/>
      <c r="EE18" s="816"/>
      <c r="EF18" s="816"/>
      <c r="EG18" s="816"/>
      <c r="EH18" s="816"/>
      <c r="EI18" s="816"/>
      <c r="EJ18" s="816"/>
      <c r="EK18" s="816"/>
      <c r="EL18" s="816"/>
      <c r="EM18" s="816"/>
      <c r="EN18" s="816"/>
      <c r="EO18" s="816"/>
      <c r="EP18" s="816"/>
      <c r="EQ18" s="816"/>
      <c r="ER18" s="816"/>
      <c r="ES18" s="816"/>
      <c r="ET18" s="816"/>
      <c r="EU18" s="816"/>
      <c r="EV18" s="816"/>
      <c r="EW18" s="816"/>
      <c r="EX18" s="816"/>
      <c r="EY18" s="816"/>
      <c r="EZ18" s="816"/>
      <c r="FA18" s="816"/>
      <c r="FB18" s="816"/>
      <c r="FC18" s="816"/>
      <c r="FD18" s="816"/>
      <c r="FE18" s="816"/>
      <c r="FF18" s="816"/>
      <c r="FG18" s="816"/>
      <c r="FH18" s="816"/>
      <c r="FI18" s="816"/>
      <c r="FJ18" s="816"/>
      <c r="FK18" s="816"/>
      <c r="FL18" s="816"/>
      <c r="FM18" s="816"/>
      <c r="FN18" s="816"/>
      <c r="FO18" s="816"/>
      <c r="FP18" s="816"/>
      <c r="FQ18" s="816"/>
      <c r="FR18" s="816"/>
      <c r="FS18" s="816"/>
      <c r="FT18" s="816"/>
      <c r="FU18" s="816"/>
      <c r="FV18" s="816"/>
      <c r="FW18" s="816"/>
      <c r="FX18" s="816"/>
      <c r="FY18" s="816"/>
      <c r="FZ18" s="816"/>
      <c r="GA18" s="816"/>
      <c r="GB18" s="816"/>
      <c r="GC18" s="816"/>
      <c r="GD18" s="816"/>
      <c r="GE18" s="816"/>
      <c r="GF18" s="816"/>
      <c r="GG18" s="816"/>
      <c r="GH18" s="816"/>
      <c r="GI18" s="816"/>
      <c r="GJ18" s="816"/>
      <c r="GK18" s="816"/>
      <c r="GL18" s="816"/>
      <c r="GM18" s="816"/>
      <c r="GN18" s="816"/>
      <c r="GO18" s="816"/>
      <c r="GP18" s="816"/>
      <c r="GQ18" s="816"/>
      <c r="GR18" s="816"/>
      <c r="GS18" s="816"/>
      <c r="GT18" s="816"/>
      <c r="GU18" s="816"/>
      <c r="GV18" s="816"/>
      <c r="GW18" s="816"/>
      <c r="GX18" s="816"/>
      <c r="GY18" s="816"/>
      <c r="GZ18" s="816"/>
      <c r="HA18" s="816"/>
      <c r="HB18" s="816"/>
      <c r="HC18" s="816"/>
      <c r="HD18" s="816"/>
      <c r="HE18" s="816"/>
      <c r="HF18" s="816"/>
      <c r="HG18" s="816"/>
      <c r="HH18" s="816"/>
      <c r="HI18" s="816"/>
      <c r="HJ18" s="816"/>
      <c r="HK18" s="816"/>
      <c r="HL18" s="816"/>
      <c r="HM18" s="816"/>
      <c r="HN18" s="816"/>
      <c r="HO18" s="816"/>
      <c r="HP18" s="816"/>
      <c r="HQ18" s="816"/>
      <c r="HR18" s="816"/>
      <c r="HS18" s="816"/>
      <c r="HT18" s="816"/>
      <c r="HU18" s="816"/>
      <c r="HV18" s="816"/>
      <c r="HW18" s="816"/>
      <c r="HX18" s="816"/>
      <c r="HY18" s="816"/>
      <c r="HZ18" s="816"/>
      <c r="IA18" s="816"/>
      <c r="IB18" s="816"/>
      <c r="IC18" s="816"/>
      <c r="ID18" s="816"/>
      <c r="IE18" s="816"/>
      <c r="IF18" s="816"/>
      <c r="IG18" s="816"/>
      <c r="IH18" s="816"/>
      <c r="II18" s="816"/>
      <c r="IJ18" s="816"/>
      <c r="IK18" s="816"/>
      <c r="IL18" s="816"/>
      <c r="IM18" s="816"/>
      <c r="IN18" s="816"/>
      <c r="IO18" s="816"/>
      <c r="IP18" s="816"/>
      <c r="IQ18" s="816"/>
      <c r="IR18" s="816"/>
      <c r="IS18" s="816"/>
      <c r="IT18" s="816"/>
      <c r="IU18" s="816"/>
      <c r="IV18" s="816"/>
    </row>
    <row r="19" spans="1:256">
      <c r="A19" s="820">
        <f>+A18+1</f>
        <v>6</v>
      </c>
      <c r="B19" s="817" t="s">
        <v>514</v>
      </c>
      <c r="C19" s="829">
        <f>+$H$14</f>
        <v>0</v>
      </c>
      <c r="D19" s="829">
        <f>D18+C19</f>
        <v>0</v>
      </c>
      <c r="E19" s="817">
        <v>31</v>
      </c>
      <c r="F19" s="711">
        <v>335</v>
      </c>
      <c r="G19" s="830">
        <f t="shared" ref="G19:G30" si="0">F19/$F$18</f>
        <v>0.9178082191780822</v>
      </c>
      <c r="H19" s="829">
        <f t="shared" ref="H19:H30" si="1">C19*G19</f>
        <v>0</v>
      </c>
      <c r="I19" s="829">
        <f>I18+H19</f>
        <v>0</v>
      </c>
      <c r="J19" s="816"/>
      <c r="K19" s="816"/>
      <c r="L19" s="816"/>
      <c r="M19" s="816"/>
      <c r="N19" s="816"/>
      <c r="O19" s="816"/>
      <c r="P19" s="816"/>
      <c r="Q19" s="816"/>
      <c r="R19" s="816"/>
      <c r="S19" s="816"/>
      <c r="T19" s="816"/>
      <c r="U19" s="816"/>
      <c r="V19" s="816"/>
      <c r="W19" s="816"/>
      <c r="X19" s="816"/>
      <c r="Y19" s="816"/>
      <c r="Z19" s="816"/>
      <c r="AA19" s="816"/>
      <c r="AB19" s="816"/>
      <c r="AC19" s="816"/>
      <c r="AD19" s="816"/>
      <c r="AE19" s="816"/>
      <c r="AF19" s="816"/>
      <c r="AG19" s="816"/>
      <c r="AH19" s="816"/>
      <c r="AI19" s="816"/>
      <c r="AJ19" s="816"/>
      <c r="AK19" s="816"/>
      <c r="AL19" s="816"/>
      <c r="AM19" s="816"/>
      <c r="AN19" s="816"/>
      <c r="AO19" s="816"/>
      <c r="AP19" s="816"/>
      <c r="AQ19" s="816"/>
      <c r="AR19" s="816"/>
      <c r="AS19" s="816"/>
      <c r="AT19" s="816"/>
      <c r="AU19" s="816"/>
      <c r="AV19" s="816"/>
      <c r="AW19" s="816"/>
      <c r="AX19" s="816"/>
      <c r="AY19" s="816"/>
      <c r="AZ19" s="816"/>
      <c r="BA19" s="816"/>
      <c r="BB19" s="816"/>
      <c r="BC19" s="816"/>
      <c r="BD19" s="816"/>
      <c r="BE19" s="816"/>
      <c r="BF19" s="816"/>
      <c r="BG19" s="816"/>
      <c r="BH19" s="816"/>
      <c r="BI19" s="816"/>
      <c r="BJ19" s="816"/>
      <c r="BK19" s="816"/>
      <c r="BL19" s="816"/>
      <c r="BM19" s="816"/>
      <c r="BN19" s="816"/>
      <c r="BO19" s="816"/>
      <c r="BP19" s="816"/>
      <c r="BQ19" s="816"/>
      <c r="BR19" s="816"/>
      <c r="BS19" s="816"/>
      <c r="BT19" s="816"/>
      <c r="BU19" s="816"/>
      <c r="BV19" s="816"/>
      <c r="BW19" s="816"/>
      <c r="BX19" s="816"/>
      <c r="BY19" s="816"/>
      <c r="BZ19" s="816"/>
      <c r="CA19" s="816"/>
      <c r="CB19" s="816"/>
      <c r="CC19" s="816"/>
      <c r="CD19" s="816"/>
      <c r="CE19" s="816"/>
      <c r="CF19" s="816"/>
      <c r="CG19" s="816"/>
      <c r="CH19" s="816"/>
      <c r="CI19" s="816"/>
      <c r="CJ19" s="816"/>
      <c r="CK19" s="816"/>
      <c r="CL19" s="816"/>
      <c r="CM19" s="816"/>
      <c r="CN19" s="816"/>
      <c r="CO19" s="816"/>
      <c r="CP19" s="816"/>
      <c r="CQ19" s="816"/>
      <c r="CR19" s="816"/>
      <c r="CS19" s="816"/>
      <c r="CT19" s="816"/>
      <c r="CU19" s="816"/>
      <c r="CV19" s="816"/>
      <c r="CW19" s="816"/>
      <c r="CX19" s="816"/>
      <c r="CY19" s="816"/>
      <c r="CZ19" s="816"/>
      <c r="DA19" s="816"/>
      <c r="DB19" s="816"/>
      <c r="DC19" s="816"/>
      <c r="DD19" s="816"/>
      <c r="DE19" s="816"/>
      <c r="DF19" s="816"/>
      <c r="DG19" s="816"/>
      <c r="DH19" s="816"/>
      <c r="DI19" s="816"/>
      <c r="DJ19" s="816"/>
      <c r="DK19" s="816"/>
      <c r="DL19" s="816"/>
      <c r="DM19" s="816"/>
      <c r="DN19" s="816"/>
      <c r="DO19" s="816"/>
      <c r="DP19" s="816"/>
      <c r="DQ19" s="816"/>
      <c r="DR19" s="816"/>
      <c r="DS19" s="816"/>
      <c r="DT19" s="816"/>
      <c r="DU19" s="816"/>
      <c r="DV19" s="816"/>
      <c r="DW19" s="816"/>
      <c r="DX19" s="816"/>
      <c r="DY19" s="816"/>
      <c r="DZ19" s="816"/>
      <c r="EA19" s="816"/>
      <c r="EB19" s="816"/>
      <c r="EC19" s="816"/>
      <c r="ED19" s="816"/>
      <c r="EE19" s="816"/>
      <c r="EF19" s="816"/>
      <c r="EG19" s="816"/>
      <c r="EH19" s="816"/>
      <c r="EI19" s="816"/>
      <c r="EJ19" s="816"/>
      <c r="EK19" s="816"/>
      <c r="EL19" s="816"/>
      <c r="EM19" s="816"/>
      <c r="EN19" s="816"/>
      <c r="EO19" s="816"/>
      <c r="EP19" s="816"/>
      <c r="EQ19" s="816"/>
      <c r="ER19" s="816"/>
      <c r="ES19" s="816"/>
      <c r="ET19" s="816"/>
      <c r="EU19" s="816"/>
      <c r="EV19" s="816"/>
      <c r="EW19" s="816"/>
      <c r="EX19" s="816"/>
      <c r="EY19" s="816"/>
      <c r="EZ19" s="816"/>
      <c r="FA19" s="816"/>
      <c r="FB19" s="816"/>
      <c r="FC19" s="816"/>
      <c r="FD19" s="816"/>
      <c r="FE19" s="816"/>
      <c r="FF19" s="816"/>
      <c r="FG19" s="816"/>
      <c r="FH19" s="816"/>
      <c r="FI19" s="816"/>
      <c r="FJ19" s="816"/>
      <c r="FK19" s="816"/>
      <c r="FL19" s="816"/>
      <c r="FM19" s="816"/>
      <c r="FN19" s="816"/>
      <c r="FO19" s="816"/>
      <c r="FP19" s="816"/>
      <c r="FQ19" s="816"/>
      <c r="FR19" s="816"/>
      <c r="FS19" s="816"/>
      <c r="FT19" s="816"/>
      <c r="FU19" s="816"/>
      <c r="FV19" s="816"/>
      <c r="FW19" s="816"/>
      <c r="FX19" s="816"/>
      <c r="FY19" s="816"/>
      <c r="FZ19" s="816"/>
      <c r="GA19" s="816"/>
      <c r="GB19" s="816"/>
      <c r="GC19" s="816"/>
      <c r="GD19" s="816"/>
      <c r="GE19" s="816"/>
      <c r="GF19" s="816"/>
      <c r="GG19" s="816"/>
      <c r="GH19" s="816"/>
      <c r="GI19" s="816"/>
      <c r="GJ19" s="816"/>
      <c r="GK19" s="816"/>
      <c r="GL19" s="816"/>
      <c r="GM19" s="816"/>
      <c r="GN19" s="816"/>
      <c r="GO19" s="816"/>
      <c r="GP19" s="816"/>
      <c r="GQ19" s="816"/>
      <c r="GR19" s="816"/>
      <c r="GS19" s="816"/>
      <c r="GT19" s="816"/>
      <c r="GU19" s="816"/>
      <c r="GV19" s="816"/>
      <c r="GW19" s="816"/>
      <c r="GX19" s="816"/>
      <c r="GY19" s="816"/>
      <c r="GZ19" s="816"/>
      <c r="HA19" s="816"/>
      <c r="HB19" s="816"/>
      <c r="HC19" s="816"/>
      <c r="HD19" s="816"/>
      <c r="HE19" s="816"/>
      <c r="HF19" s="816"/>
      <c r="HG19" s="816"/>
      <c r="HH19" s="816"/>
      <c r="HI19" s="816"/>
      <c r="HJ19" s="816"/>
      <c r="HK19" s="816"/>
      <c r="HL19" s="816"/>
      <c r="HM19" s="816"/>
      <c r="HN19" s="816"/>
      <c r="HO19" s="816"/>
      <c r="HP19" s="816"/>
      <c r="HQ19" s="816"/>
      <c r="HR19" s="816"/>
      <c r="HS19" s="816"/>
      <c r="HT19" s="816"/>
      <c r="HU19" s="816"/>
      <c r="HV19" s="816"/>
      <c r="HW19" s="816"/>
      <c r="HX19" s="816"/>
      <c r="HY19" s="816"/>
      <c r="HZ19" s="816"/>
      <c r="IA19" s="816"/>
      <c r="IB19" s="816"/>
      <c r="IC19" s="816"/>
      <c r="ID19" s="816"/>
      <c r="IE19" s="816"/>
      <c r="IF19" s="816"/>
      <c r="IG19" s="816"/>
      <c r="IH19" s="816"/>
      <c r="II19" s="816"/>
      <c r="IJ19" s="816"/>
      <c r="IK19" s="816"/>
      <c r="IL19" s="816"/>
      <c r="IM19" s="816"/>
      <c r="IN19" s="816"/>
      <c r="IO19" s="816"/>
      <c r="IP19" s="816"/>
      <c r="IQ19" s="816"/>
      <c r="IR19" s="816"/>
      <c r="IS19" s="816"/>
      <c r="IT19" s="816"/>
      <c r="IU19" s="816"/>
      <c r="IV19" s="816"/>
    </row>
    <row r="20" spans="1:256">
      <c r="A20" s="820">
        <f t="shared" ref="A20:A30" si="2">+A19+1</f>
        <v>7</v>
      </c>
      <c r="B20" s="817" t="s">
        <v>515</v>
      </c>
      <c r="C20" s="829">
        <f t="shared" ref="C20:C30" si="3">+$H$14</f>
        <v>0</v>
      </c>
      <c r="D20" s="829">
        <f>D19+C20</f>
        <v>0</v>
      </c>
      <c r="E20" s="711">
        <v>28</v>
      </c>
      <c r="F20" s="711">
        <v>307</v>
      </c>
      <c r="G20" s="830">
        <f t="shared" si="0"/>
        <v>0.84109589041095889</v>
      </c>
      <c r="H20" s="829">
        <f t="shared" si="1"/>
        <v>0</v>
      </c>
      <c r="I20" s="829">
        <f t="shared" ref="I20:I30" si="4">I19+H20</f>
        <v>0</v>
      </c>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6"/>
      <c r="AI20" s="816"/>
      <c r="AJ20" s="816"/>
      <c r="AK20" s="816"/>
      <c r="AL20" s="816"/>
      <c r="AM20" s="816"/>
      <c r="AN20" s="816"/>
      <c r="AO20" s="816"/>
      <c r="AP20" s="816"/>
      <c r="AQ20" s="816"/>
      <c r="AR20" s="816"/>
      <c r="AS20" s="816"/>
      <c r="AT20" s="816"/>
      <c r="AU20" s="816"/>
      <c r="AV20" s="816"/>
      <c r="AW20" s="816"/>
      <c r="AX20" s="816"/>
      <c r="AY20" s="816"/>
      <c r="AZ20" s="816"/>
      <c r="BA20" s="816"/>
      <c r="BB20" s="816"/>
      <c r="BC20" s="816"/>
      <c r="BD20" s="816"/>
      <c r="BE20" s="816"/>
      <c r="BF20" s="816"/>
      <c r="BG20" s="816"/>
      <c r="BH20" s="816"/>
      <c r="BI20" s="816"/>
      <c r="BJ20" s="816"/>
      <c r="BK20" s="816"/>
      <c r="BL20" s="816"/>
      <c r="BM20" s="816"/>
      <c r="BN20" s="816"/>
      <c r="BO20" s="816"/>
      <c r="BP20" s="816"/>
      <c r="BQ20" s="816"/>
      <c r="BR20" s="816"/>
      <c r="BS20" s="816"/>
      <c r="BT20" s="816"/>
      <c r="BU20" s="816"/>
      <c r="BV20" s="816"/>
      <c r="BW20" s="816"/>
      <c r="BX20" s="816"/>
      <c r="BY20" s="816"/>
      <c r="BZ20" s="816"/>
      <c r="CA20" s="816"/>
      <c r="CB20" s="816"/>
      <c r="CC20" s="816"/>
      <c r="CD20" s="816"/>
      <c r="CE20" s="816"/>
      <c r="CF20" s="816"/>
      <c r="CG20" s="816"/>
      <c r="CH20" s="816"/>
      <c r="CI20" s="816"/>
      <c r="CJ20" s="816"/>
      <c r="CK20" s="816"/>
      <c r="CL20" s="816"/>
      <c r="CM20" s="816"/>
      <c r="CN20" s="816"/>
      <c r="CO20" s="816"/>
      <c r="CP20" s="816"/>
      <c r="CQ20" s="816"/>
      <c r="CR20" s="816"/>
      <c r="CS20" s="816"/>
      <c r="CT20" s="816"/>
      <c r="CU20" s="816"/>
      <c r="CV20" s="816"/>
      <c r="CW20" s="816"/>
      <c r="CX20" s="816"/>
      <c r="CY20" s="816"/>
      <c r="CZ20" s="816"/>
      <c r="DA20" s="816"/>
      <c r="DB20" s="816"/>
      <c r="DC20" s="816"/>
      <c r="DD20" s="816"/>
      <c r="DE20" s="816"/>
      <c r="DF20" s="816"/>
      <c r="DG20" s="816"/>
      <c r="DH20" s="816"/>
      <c r="DI20" s="816"/>
      <c r="DJ20" s="816"/>
      <c r="DK20" s="816"/>
      <c r="DL20" s="816"/>
      <c r="DM20" s="816"/>
      <c r="DN20" s="816"/>
      <c r="DO20" s="816"/>
      <c r="DP20" s="816"/>
      <c r="DQ20" s="816"/>
      <c r="DR20" s="816"/>
      <c r="DS20" s="816"/>
      <c r="DT20" s="816"/>
      <c r="DU20" s="816"/>
      <c r="DV20" s="816"/>
      <c r="DW20" s="816"/>
      <c r="DX20" s="816"/>
      <c r="DY20" s="816"/>
      <c r="DZ20" s="816"/>
      <c r="EA20" s="816"/>
      <c r="EB20" s="816"/>
      <c r="EC20" s="816"/>
      <c r="ED20" s="816"/>
      <c r="EE20" s="816"/>
      <c r="EF20" s="816"/>
      <c r="EG20" s="816"/>
      <c r="EH20" s="816"/>
      <c r="EI20" s="816"/>
      <c r="EJ20" s="816"/>
      <c r="EK20" s="816"/>
      <c r="EL20" s="816"/>
      <c r="EM20" s="816"/>
      <c r="EN20" s="816"/>
      <c r="EO20" s="816"/>
      <c r="EP20" s="816"/>
      <c r="EQ20" s="816"/>
      <c r="ER20" s="816"/>
      <c r="ES20" s="816"/>
      <c r="ET20" s="816"/>
      <c r="EU20" s="816"/>
      <c r="EV20" s="816"/>
      <c r="EW20" s="816"/>
      <c r="EX20" s="816"/>
      <c r="EY20" s="816"/>
      <c r="EZ20" s="816"/>
      <c r="FA20" s="816"/>
      <c r="FB20" s="816"/>
      <c r="FC20" s="816"/>
      <c r="FD20" s="816"/>
      <c r="FE20" s="816"/>
      <c r="FF20" s="816"/>
      <c r="FG20" s="816"/>
      <c r="FH20" s="816"/>
      <c r="FI20" s="816"/>
      <c r="FJ20" s="816"/>
      <c r="FK20" s="816"/>
      <c r="FL20" s="816"/>
      <c r="FM20" s="816"/>
      <c r="FN20" s="816"/>
      <c r="FO20" s="816"/>
      <c r="FP20" s="816"/>
      <c r="FQ20" s="816"/>
      <c r="FR20" s="816"/>
      <c r="FS20" s="816"/>
      <c r="FT20" s="816"/>
      <c r="FU20" s="816"/>
      <c r="FV20" s="816"/>
      <c r="FW20" s="816"/>
      <c r="FX20" s="816"/>
      <c r="FY20" s="816"/>
      <c r="FZ20" s="816"/>
      <c r="GA20" s="816"/>
      <c r="GB20" s="816"/>
      <c r="GC20" s="816"/>
      <c r="GD20" s="816"/>
      <c r="GE20" s="816"/>
      <c r="GF20" s="816"/>
      <c r="GG20" s="816"/>
      <c r="GH20" s="816"/>
      <c r="GI20" s="816"/>
      <c r="GJ20" s="816"/>
      <c r="GK20" s="816"/>
      <c r="GL20" s="816"/>
      <c r="GM20" s="816"/>
      <c r="GN20" s="816"/>
      <c r="GO20" s="816"/>
      <c r="GP20" s="816"/>
      <c r="GQ20" s="816"/>
      <c r="GR20" s="816"/>
      <c r="GS20" s="816"/>
      <c r="GT20" s="816"/>
      <c r="GU20" s="816"/>
      <c r="GV20" s="816"/>
      <c r="GW20" s="816"/>
      <c r="GX20" s="816"/>
      <c r="GY20" s="816"/>
      <c r="GZ20" s="816"/>
      <c r="HA20" s="816"/>
      <c r="HB20" s="816"/>
      <c r="HC20" s="816"/>
      <c r="HD20" s="816"/>
      <c r="HE20" s="816"/>
      <c r="HF20" s="816"/>
      <c r="HG20" s="816"/>
      <c r="HH20" s="816"/>
      <c r="HI20" s="816"/>
      <c r="HJ20" s="816"/>
      <c r="HK20" s="816"/>
      <c r="HL20" s="816"/>
      <c r="HM20" s="816"/>
      <c r="HN20" s="816"/>
      <c r="HO20" s="816"/>
      <c r="HP20" s="816"/>
      <c r="HQ20" s="816"/>
      <c r="HR20" s="816"/>
      <c r="HS20" s="816"/>
      <c r="HT20" s="816"/>
      <c r="HU20" s="816"/>
      <c r="HV20" s="816"/>
      <c r="HW20" s="816"/>
      <c r="HX20" s="816"/>
      <c r="HY20" s="816"/>
      <c r="HZ20" s="816"/>
      <c r="IA20" s="816"/>
      <c r="IB20" s="816"/>
      <c r="IC20" s="816"/>
      <c r="ID20" s="816"/>
      <c r="IE20" s="816"/>
      <c r="IF20" s="816"/>
      <c r="IG20" s="816"/>
      <c r="IH20" s="816"/>
      <c r="II20" s="816"/>
      <c r="IJ20" s="816"/>
      <c r="IK20" s="816"/>
      <c r="IL20" s="816"/>
      <c r="IM20" s="816"/>
      <c r="IN20" s="816"/>
      <c r="IO20" s="816"/>
      <c r="IP20" s="816"/>
      <c r="IQ20" s="816"/>
      <c r="IR20" s="816"/>
      <c r="IS20" s="816"/>
      <c r="IT20" s="816"/>
      <c r="IU20" s="816"/>
      <c r="IV20" s="816"/>
    </row>
    <row r="21" spans="1:256">
      <c r="A21" s="820">
        <f t="shared" si="2"/>
        <v>8</v>
      </c>
      <c r="B21" s="817" t="s">
        <v>323</v>
      </c>
      <c r="C21" s="829">
        <f t="shared" si="3"/>
        <v>0</v>
      </c>
      <c r="D21" s="829">
        <f>D20+C21</f>
        <v>0</v>
      </c>
      <c r="E21" s="817">
        <v>31</v>
      </c>
      <c r="F21" s="711">
        <v>276</v>
      </c>
      <c r="G21" s="830">
        <f t="shared" si="0"/>
        <v>0.75616438356164384</v>
      </c>
      <c r="H21" s="829">
        <f t="shared" si="1"/>
        <v>0</v>
      </c>
      <c r="I21" s="829">
        <f t="shared" si="4"/>
        <v>0</v>
      </c>
      <c r="J21" s="816"/>
      <c r="K21" s="816"/>
      <c r="L21" s="816"/>
      <c r="M21" s="816"/>
      <c r="N21" s="816"/>
      <c r="O21" s="816"/>
      <c r="P21" s="816"/>
      <c r="Q21" s="816"/>
      <c r="R21" s="816"/>
      <c r="S21" s="816"/>
      <c r="T21" s="816"/>
      <c r="U21" s="816"/>
      <c r="V21" s="816"/>
      <c r="W21" s="816"/>
      <c r="X21" s="816"/>
      <c r="Y21" s="816"/>
      <c r="Z21" s="816"/>
      <c r="AA21" s="816"/>
      <c r="AB21" s="816"/>
      <c r="AC21" s="816"/>
      <c r="AD21" s="816"/>
      <c r="AE21" s="816"/>
      <c r="AF21" s="816"/>
      <c r="AG21" s="816"/>
      <c r="AH21" s="816"/>
      <c r="AI21" s="816"/>
      <c r="AJ21" s="816"/>
      <c r="AK21" s="816"/>
      <c r="AL21" s="816"/>
      <c r="AM21" s="816"/>
      <c r="AN21" s="816"/>
      <c r="AO21" s="816"/>
      <c r="AP21" s="816"/>
      <c r="AQ21" s="816"/>
      <c r="AR21" s="816"/>
      <c r="AS21" s="816"/>
      <c r="AT21" s="816"/>
      <c r="AU21" s="816"/>
      <c r="AV21" s="816"/>
      <c r="AW21" s="816"/>
      <c r="AX21" s="816"/>
      <c r="AY21" s="816"/>
      <c r="AZ21" s="816"/>
      <c r="BA21" s="816"/>
      <c r="BB21" s="816"/>
      <c r="BC21" s="816"/>
      <c r="BD21" s="816"/>
      <c r="BE21" s="816"/>
      <c r="BF21" s="816"/>
      <c r="BG21" s="816"/>
      <c r="BH21" s="816"/>
      <c r="BI21" s="816"/>
      <c r="BJ21" s="816"/>
      <c r="BK21" s="816"/>
      <c r="BL21" s="816"/>
      <c r="BM21" s="816"/>
      <c r="BN21" s="816"/>
      <c r="BO21" s="816"/>
      <c r="BP21" s="816"/>
      <c r="BQ21" s="816"/>
      <c r="BR21" s="816"/>
      <c r="BS21" s="816"/>
      <c r="BT21" s="816"/>
      <c r="BU21" s="816"/>
      <c r="BV21" s="816"/>
      <c r="BW21" s="816"/>
      <c r="BX21" s="816"/>
      <c r="BY21" s="816"/>
      <c r="BZ21" s="816"/>
      <c r="CA21" s="816"/>
      <c r="CB21" s="816"/>
      <c r="CC21" s="816"/>
      <c r="CD21" s="816"/>
      <c r="CE21" s="816"/>
      <c r="CF21" s="816"/>
      <c r="CG21" s="816"/>
      <c r="CH21" s="816"/>
      <c r="CI21" s="816"/>
      <c r="CJ21" s="816"/>
      <c r="CK21" s="816"/>
      <c r="CL21" s="816"/>
      <c r="CM21" s="816"/>
      <c r="CN21" s="816"/>
      <c r="CO21" s="816"/>
      <c r="CP21" s="816"/>
      <c r="CQ21" s="816"/>
      <c r="CR21" s="816"/>
      <c r="CS21" s="816"/>
      <c r="CT21" s="816"/>
      <c r="CU21" s="816"/>
      <c r="CV21" s="816"/>
      <c r="CW21" s="816"/>
      <c r="CX21" s="816"/>
      <c r="CY21" s="816"/>
      <c r="CZ21" s="816"/>
      <c r="DA21" s="816"/>
      <c r="DB21" s="816"/>
      <c r="DC21" s="816"/>
      <c r="DD21" s="816"/>
      <c r="DE21" s="816"/>
      <c r="DF21" s="816"/>
      <c r="DG21" s="816"/>
      <c r="DH21" s="816"/>
      <c r="DI21" s="816"/>
      <c r="DJ21" s="816"/>
      <c r="DK21" s="816"/>
      <c r="DL21" s="816"/>
      <c r="DM21" s="816"/>
      <c r="DN21" s="816"/>
      <c r="DO21" s="816"/>
      <c r="DP21" s="816"/>
      <c r="DQ21" s="816"/>
      <c r="DR21" s="816"/>
      <c r="DS21" s="816"/>
      <c r="DT21" s="816"/>
      <c r="DU21" s="816"/>
      <c r="DV21" s="816"/>
      <c r="DW21" s="816"/>
      <c r="DX21" s="816"/>
      <c r="DY21" s="816"/>
      <c r="DZ21" s="816"/>
      <c r="EA21" s="816"/>
      <c r="EB21" s="816"/>
      <c r="EC21" s="816"/>
      <c r="ED21" s="816"/>
      <c r="EE21" s="816"/>
      <c r="EF21" s="816"/>
      <c r="EG21" s="816"/>
      <c r="EH21" s="816"/>
      <c r="EI21" s="816"/>
      <c r="EJ21" s="816"/>
      <c r="EK21" s="816"/>
      <c r="EL21" s="816"/>
      <c r="EM21" s="816"/>
      <c r="EN21" s="816"/>
      <c r="EO21" s="816"/>
      <c r="EP21" s="816"/>
      <c r="EQ21" s="816"/>
      <c r="ER21" s="816"/>
      <c r="ES21" s="816"/>
      <c r="ET21" s="816"/>
      <c r="EU21" s="816"/>
      <c r="EV21" s="816"/>
      <c r="EW21" s="816"/>
      <c r="EX21" s="816"/>
      <c r="EY21" s="816"/>
      <c r="EZ21" s="816"/>
      <c r="FA21" s="816"/>
      <c r="FB21" s="816"/>
      <c r="FC21" s="816"/>
      <c r="FD21" s="816"/>
      <c r="FE21" s="816"/>
      <c r="FF21" s="816"/>
      <c r="FG21" s="816"/>
      <c r="FH21" s="816"/>
      <c r="FI21" s="816"/>
      <c r="FJ21" s="816"/>
      <c r="FK21" s="816"/>
      <c r="FL21" s="816"/>
      <c r="FM21" s="816"/>
      <c r="FN21" s="816"/>
      <c r="FO21" s="816"/>
      <c r="FP21" s="816"/>
      <c r="FQ21" s="816"/>
      <c r="FR21" s="816"/>
      <c r="FS21" s="816"/>
      <c r="FT21" s="816"/>
      <c r="FU21" s="816"/>
      <c r="FV21" s="816"/>
      <c r="FW21" s="816"/>
      <c r="FX21" s="816"/>
      <c r="FY21" s="816"/>
      <c r="FZ21" s="816"/>
      <c r="GA21" s="816"/>
      <c r="GB21" s="816"/>
      <c r="GC21" s="816"/>
      <c r="GD21" s="816"/>
      <c r="GE21" s="816"/>
      <c r="GF21" s="816"/>
      <c r="GG21" s="816"/>
      <c r="GH21" s="816"/>
      <c r="GI21" s="816"/>
      <c r="GJ21" s="816"/>
      <c r="GK21" s="816"/>
      <c r="GL21" s="816"/>
      <c r="GM21" s="816"/>
      <c r="GN21" s="816"/>
      <c r="GO21" s="816"/>
      <c r="GP21" s="816"/>
      <c r="GQ21" s="816"/>
      <c r="GR21" s="816"/>
      <c r="GS21" s="816"/>
      <c r="GT21" s="816"/>
      <c r="GU21" s="816"/>
      <c r="GV21" s="816"/>
      <c r="GW21" s="816"/>
      <c r="GX21" s="816"/>
      <c r="GY21" s="816"/>
      <c r="GZ21" s="816"/>
      <c r="HA21" s="816"/>
      <c r="HB21" s="816"/>
      <c r="HC21" s="816"/>
      <c r="HD21" s="816"/>
      <c r="HE21" s="816"/>
      <c r="HF21" s="816"/>
      <c r="HG21" s="816"/>
      <c r="HH21" s="816"/>
      <c r="HI21" s="816"/>
      <c r="HJ21" s="816"/>
      <c r="HK21" s="816"/>
      <c r="HL21" s="816"/>
      <c r="HM21" s="816"/>
      <c r="HN21" s="816"/>
      <c r="HO21" s="816"/>
      <c r="HP21" s="816"/>
      <c r="HQ21" s="816"/>
      <c r="HR21" s="816"/>
      <c r="HS21" s="816"/>
      <c r="HT21" s="816"/>
      <c r="HU21" s="816"/>
      <c r="HV21" s="816"/>
      <c r="HW21" s="816"/>
      <c r="HX21" s="816"/>
      <c r="HY21" s="816"/>
      <c r="HZ21" s="816"/>
      <c r="IA21" s="816"/>
      <c r="IB21" s="816"/>
      <c r="IC21" s="816"/>
      <c r="ID21" s="816"/>
      <c r="IE21" s="816"/>
      <c r="IF21" s="816"/>
      <c r="IG21" s="816"/>
      <c r="IH21" s="816"/>
      <c r="II21" s="816"/>
      <c r="IJ21" s="816"/>
      <c r="IK21" s="816"/>
      <c r="IL21" s="816"/>
      <c r="IM21" s="816"/>
      <c r="IN21" s="816"/>
      <c r="IO21" s="816"/>
      <c r="IP21" s="816"/>
      <c r="IQ21" s="816"/>
      <c r="IR21" s="816"/>
      <c r="IS21" s="816"/>
      <c r="IT21" s="816"/>
      <c r="IU21" s="816"/>
      <c r="IV21" s="816"/>
    </row>
    <row r="22" spans="1:256">
      <c r="A22" s="820">
        <f t="shared" si="2"/>
        <v>9</v>
      </c>
      <c r="B22" s="817" t="s">
        <v>324</v>
      </c>
      <c r="C22" s="829">
        <f t="shared" si="3"/>
        <v>0</v>
      </c>
      <c r="D22" s="829">
        <f t="shared" ref="D22:D30" si="5">D21+C22</f>
        <v>0</v>
      </c>
      <c r="E22" s="817">
        <v>30</v>
      </c>
      <c r="F22" s="711">
        <v>246</v>
      </c>
      <c r="G22" s="830">
        <f t="shared" si="0"/>
        <v>0.67397260273972603</v>
      </c>
      <c r="H22" s="829">
        <f t="shared" si="1"/>
        <v>0</v>
      </c>
      <c r="I22" s="829">
        <f t="shared" si="4"/>
        <v>0</v>
      </c>
      <c r="J22" s="816"/>
      <c r="K22" s="816"/>
      <c r="L22" s="816"/>
      <c r="M22" s="816"/>
      <c r="N22" s="816"/>
      <c r="O22" s="816"/>
      <c r="P22" s="816"/>
      <c r="Q22" s="816"/>
      <c r="R22" s="816"/>
      <c r="S22" s="816"/>
      <c r="T22" s="816"/>
      <c r="U22" s="816"/>
      <c r="V22" s="816"/>
      <c r="W22" s="816"/>
      <c r="X22" s="816"/>
      <c r="Y22" s="816"/>
      <c r="Z22" s="816"/>
      <c r="AA22" s="816"/>
      <c r="AB22" s="816"/>
      <c r="AC22" s="816"/>
      <c r="AD22" s="816"/>
      <c r="AE22" s="816"/>
      <c r="AF22" s="816"/>
      <c r="AG22" s="816"/>
      <c r="AH22" s="816"/>
      <c r="AI22" s="816"/>
      <c r="AJ22" s="816"/>
      <c r="AK22" s="816"/>
      <c r="AL22" s="816"/>
      <c r="AM22" s="816"/>
      <c r="AN22" s="816"/>
      <c r="AO22" s="816"/>
      <c r="AP22" s="816"/>
      <c r="AQ22" s="816"/>
      <c r="AR22" s="816"/>
      <c r="AS22" s="816"/>
      <c r="AT22" s="816"/>
      <c r="AU22" s="816"/>
      <c r="AV22" s="816"/>
      <c r="AW22" s="816"/>
      <c r="AX22" s="816"/>
      <c r="AY22" s="816"/>
      <c r="AZ22" s="816"/>
      <c r="BA22" s="816"/>
      <c r="BB22" s="816"/>
      <c r="BC22" s="816"/>
      <c r="BD22" s="816"/>
      <c r="BE22" s="816"/>
      <c r="BF22" s="816"/>
      <c r="BG22" s="816"/>
      <c r="BH22" s="816"/>
      <c r="BI22" s="816"/>
      <c r="BJ22" s="816"/>
      <c r="BK22" s="816"/>
      <c r="BL22" s="816"/>
      <c r="BM22" s="816"/>
      <c r="BN22" s="816"/>
      <c r="BO22" s="816"/>
      <c r="BP22" s="816"/>
      <c r="BQ22" s="816"/>
      <c r="BR22" s="816"/>
      <c r="BS22" s="816"/>
      <c r="BT22" s="816"/>
      <c r="BU22" s="816"/>
      <c r="BV22" s="816"/>
      <c r="BW22" s="816"/>
      <c r="BX22" s="816"/>
      <c r="BY22" s="816"/>
      <c r="BZ22" s="816"/>
      <c r="CA22" s="816"/>
      <c r="CB22" s="816"/>
      <c r="CC22" s="816"/>
      <c r="CD22" s="816"/>
      <c r="CE22" s="816"/>
      <c r="CF22" s="816"/>
      <c r="CG22" s="816"/>
      <c r="CH22" s="816"/>
      <c r="CI22" s="816"/>
      <c r="CJ22" s="816"/>
      <c r="CK22" s="816"/>
      <c r="CL22" s="816"/>
      <c r="CM22" s="816"/>
      <c r="CN22" s="816"/>
      <c r="CO22" s="816"/>
      <c r="CP22" s="816"/>
      <c r="CQ22" s="816"/>
      <c r="CR22" s="816"/>
      <c r="CS22" s="816"/>
      <c r="CT22" s="816"/>
      <c r="CU22" s="816"/>
      <c r="CV22" s="816"/>
      <c r="CW22" s="816"/>
      <c r="CX22" s="816"/>
      <c r="CY22" s="816"/>
      <c r="CZ22" s="816"/>
      <c r="DA22" s="816"/>
      <c r="DB22" s="816"/>
      <c r="DC22" s="816"/>
      <c r="DD22" s="816"/>
      <c r="DE22" s="816"/>
      <c r="DF22" s="816"/>
      <c r="DG22" s="816"/>
      <c r="DH22" s="816"/>
      <c r="DI22" s="816"/>
      <c r="DJ22" s="816"/>
      <c r="DK22" s="816"/>
      <c r="DL22" s="816"/>
      <c r="DM22" s="816"/>
      <c r="DN22" s="816"/>
      <c r="DO22" s="816"/>
      <c r="DP22" s="816"/>
      <c r="DQ22" s="816"/>
      <c r="DR22" s="816"/>
      <c r="DS22" s="816"/>
      <c r="DT22" s="816"/>
      <c r="DU22" s="816"/>
      <c r="DV22" s="816"/>
      <c r="DW22" s="816"/>
      <c r="DX22" s="816"/>
      <c r="DY22" s="816"/>
      <c r="DZ22" s="816"/>
      <c r="EA22" s="816"/>
      <c r="EB22" s="816"/>
      <c r="EC22" s="816"/>
      <c r="ED22" s="816"/>
      <c r="EE22" s="816"/>
      <c r="EF22" s="816"/>
      <c r="EG22" s="816"/>
      <c r="EH22" s="816"/>
      <c r="EI22" s="816"/>
      <c r="EJ22" s="816"/>
      <c r="EK22" s="816"/>
      <c r="EL22" s="816"/>
      <c r="EM22" s="816"/>
      <c r="EN22" s="816"/>
      <c r="EO22" s="816"/>
      <c r="EP22" s="816"/>
      <c r="EQ22" s="816"/>
      <c r="ER22" s="816"/>
      <c r="ES22" s="816"/>
      <c r="ET22" s="816"/>
      <c r="EU22" s="816"/>
      <c r="EV22" s="816"/>
      <c r="EW22" s="816"/>
      <c r="EX22" s="816"/>
      <c r="EY22" s="816"/>
      <c r="EZ22" s="816"/>
      <c r="FA22" s="816"/>
      <c r="FB22" s="816"/>
      <c r="FC22" s="816"/>
      <c r="FD22" s="816"/>
      <c r="FE22" s="816"/>
      <c r="FF22" s="816"/>
      <c r="FG22" s="816"/>
      <c r="FH22" s="816"/>
      <c r="FI22" s="816"/>
      <c r="FJ22" s="816"/>
      <c r="FK22" s="816"/>
      <c r="FL22" s="816"/>
      <c r="FM22" s="816"/>
      <c r="FN22" s="816"/>
      <c r="FO22" s="816"/>
      <c r="FP22" s="816"/>
      <c r="FQ22" s="816"/>
      <c r="FR22" s="816"/>
      <c r="FS22" s="816"/>
      <c r="FT22" s="816"/>
      <c r="FU22" s="816"/>
      <c r="FV22" s="816"/>
      <c r="FW22" s="816"/>
      <c r="FX22" s="816"/>
      <c r="FY22" s="816"/>
      <c r="FZ22" s="816"/>
      <c r="GA22" s="816"/>
      <c r="GB22" s="816"/>
      <c r="GC22" s="816"/>
      <c r="GD22" s="816"/>
      <c r="GE22" s="816"/>
      <c r="GF22" s="816"/>
      <c r="GG22" s="816"/>
      <c r="GH22" s="816"/>
      <c r="GI22" s="816"/>
      <c r="GJ22" s="816"/>
      <c r="GK22" s="816"/>
      <c r="GL22" s="816"/>
      <c r="GM22" s="816"/>
      <c r="GN22" s="816"/>
      <c r="GO22" s="816"/>
      <c r="GP22" s="816"/>
      <c r="GQ22" s="816"/>
      <c r="GR22" s="816"/>
      <c r="GS22" s="816"/>
      <c r="GT22" s="816"/>
      <c r="GU22" s="816"/>
      <c r="GV22" s="816"/>
      <c r="GW22" s="816"/>
      <c r="GX22" s="816"/>
      <c r="GY22" s="816"/>
      <c r="GZ22" s="816"/>
      <c r="HA22" s="816"/>
      <c r="HB22" s="816"/>
      <c r="HC22" s="816"/>
      <c r="HD22" s="816"/>
      <c r="HE22" s="816"/>
      <c r="HF22" s="816"/>
      <c r="HG22" s="816"/>
      <c r="HH22" s="816"/>
      <c r="HI22" s="816"/>
      <c r="HJ22" s="816"/>
      <c r="HK22" s="816"/>
      <c r="HL22" s="816"/>
      <c r="HM22" s="816"/>
      <c r="HN22" s="816"/>
      <c r="HO22" s="816"/>
      <c r="HP22" s="816"/>
      <c r="HQ22" s="816"/>
      <c r="HR22" s="816"/>
      <c r="HS22" s="816"/>
      <c r="HT22" s="816"/>
      <c r="HU22" s="816"/>
      <c r="HV22" s="816"/>
      <c r="HW22" s="816"/>
      <c r="HX22" s="816"/>
      <c r="HY22" s="816"/>
      <c r="HZ22" s="816"/>
      <c r="IA22" s="816"/>
      <c r="IB22" s="816"/>
      <c r="IC22" s="816"/>
      <c r="ID22" s="816"/>
      <c r="IE22" s="816"/>
      <c r="IF22" s="816"/>
      <c r="IG22" s="816"/>
      <c r="IH22" s="816"/>
      <c r="II22" s="816"/>
      <c r="IJ22" s="816"/>
      <c r="IK22" s="816"/>
      <c r="IL22" s="816"/>
      <c r="IM22" s="816"/>
      <c r="IN22" s="816"/>
      <c r="IO22" s="816"/>
      <c r="IP22" s="816"/>
      <c r="IQ22" s="816"/>
      <c r="IR22" s="816"/>
      <c r="IS22" s="816"/>
      <c r="IT22" s="816"/>
      <c r="IU22" s="816"/>
      <c r="IV22" s="816"/>
    </row>
    <row r="23" spans="1:256">
      <c r="A23" s="820">
        <f t="shared" si="2"/>
        <v>10</v>
      </c>
      <c r="B23" s="817" t="s">
        <v>325</v>
      </c>
      <c r="C23" s="829">
        <f t="shared" si="3"/>
        <v>0</v>
      </c>
      <c r="D23" s="829">
        <f t="shared" si="5"/>
        <v>0</v>
      </c>
      <c r="E23" s="817">
        <v>31</v>
      </c>
      <c r="F23" s="711">
        <v>215</v>
      </c>
      <c r="G23" s="830">
        <f t="shared" si="0"/>
        <v>0.58904109589041098</v>
      </c>
      <c r="H23" s="829">
        <f t="shared" si="1"/>
        <v>0</v>
      </c>
      <c r="I23" s="829">
        <f>I22+H23</f>
        <v>0</v>
      </c>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c r="AI23" s="816"/>
      <c r="AJ23" s="816"/>
      <c r="AK23" s="816"/>
      <c r="AL23" s="816"/>
      <c r="AM23" s="816"/>
      <c r="AN23" s="816"/>
      <c r="AO23" s="816"/>
      <c r="AP23" s="816"/>
      <c r="AQ23" s="816"/>
      <c r="AR23" s="816"/>
      <c r="AS23" s="816"/>
      <c r="AT23" s="816"/>
      <c r="AU23" s="816"/>
      <c r="AV23" s="816"/>
      <c r="AW23" s="816"/>
      <c r="AX23" s="816"/>
      <c r="AY23" s="816"/>
      <c r="AZ23" s="816"/>
      <c r="BA23" s="816"/>
      <c r="BB23" s="816"/>
      <c r="BC23" s="816"/>
      <c r="BD23" s="816"/>
      <c r="BE23" s="816"/>
      <c r="BF23" s="816"/>
      <c r="BG23" s="816"/>
      <c r="BH23" s="816"/>
      <c r="BI23" s="816"/>
      <c r="BJ23" s="816"/>
      <c r="BK23" s="816"/>
      <c r="BL23" s="816"/>
      <c r="BM23" s="816"/>
      <c r="BN23" s="816"/>
      <c r="BO23" s="816"/>
      <c r="BP23" s="816"/>
      <c r="BQ23" s="816"/>
      <c r="BR23" s="816"/>
      <c r="BS23" s="816"/>
      <c r="BT23" s="816"/>
      <c r="BU23" s="816"/>
      <c r="BV23" s="816"/>
      <c r="BW23" s="816"/>
      <c r="BX23" s="816"/>
      <c r="BY23" s="816"/>
      <c r="BZ23" s="816"/>
      <c r="CA23" s="816"/>
      <c r="CB23" s="816"/>
      <c r="CC23" s="816"/>
      <c r="CD23" s="816"/>
      <c r="CE23" s="816"/>
      <c r="CF23" s="816"/>
      <c r="CG23" s="816"/>
      <c r="CH23" s="816"/>
      <c r="CI23" s="816"/>
      <c r="CJ23" s="816"/>
      <c r="CK23" s="816"/>
      <c r="CL23" s="816"/>
      <c r="CM23" s="816"/>
      <c r="CN23" s="816"/>
      <c r="CO23" s="816"/>
      <c r="CP23" s="816"/>
      <c r="CQ23" s="816"/>
      <c r="CR23" s="816"/>
      <c r="CS23" s="816"/>
      <c r="CT23" s="816"/>
      <c r="CU23" s="816"/>
      <c r="CV23" s="816"/>
      <c r="CW23" s="816"/>
      <c r="CX23" s="816"/>
      <c r="CY23" s="816"/>
      <c r="CZ23" s="816"/>
      <c r="DA23" s="816"/>
      <c r="DB23" s="816"/>
      <c r="DC23" s="816"/>
      <c r="DD23" s="816"/>
      <c r="DE23" s="816"/>
      <c r="DF23" s="816"/>
      <c r="DG23" s="816"/>
      <c r="DH23" s="816"/>
      <c r="DI23" s="816"/>
      <c r="DJ23" s="816"/>
      <c r="DK23" s="816"/>
      <c r="DL23" s="816"/>
      <c r="DM23" s="816"/>
      <c r="DN23" s="816"/>
      <c r="DO23" s="816"/>
      <c r="DP23" s="816"/>
      <c r="DQ23" s="816"/>
      <c r="DR23" s="816"/>
      <c r="DS23" s="816"/>
      <c r="DT23" s="816"/>
      <c r="DU23" s="816"/>
      <c r="DV23" s="816"/>
      <c r="DW23" s="816"/>
      <c r="DX23" s="816"/>
      <c r="DY23" s="816"/>
      <c r="DZ23" s="816"/>
      <c r="EA23" s="816"/>
      <c r="EB23" s="816"/>
      <c r="EC23" s="816"/>
      <c r="ED23" s="816"/>
      <c r="EE23" s="816"/>
      <c r="EF23" s="816"/>
      <c r="EG23" s="816"/>
      <c r="EH23" s="816"/>
      <c r="EI23" s="816"/>
      <c r="EJ23" s="816"/>
      <c r="EK23" s="816"/>
      <c r="EL23" s="816"/>
      <c r="EM23" s="816"/>
      <c r="EN23" s="816"/>
      <c r="EO23" s="816"/>
      <c r="EP23" s="816"/>
      <c r="EQ23" s="816"/>
      <c r="ER23" s="816"/>
      <c r="ES23" s="816"/>
      <c r="ET23" s="816"/>
      <c r="EU23" s="816"/>
      <c r="EV23" s="816"/>
      <c r="EW23" s="816"/>
      <c r="EX23" s="816"/>
      <c r="EY23" s="816"/>
      <c r="EZ23" s="816"/>
      <c r="FA23" s="816"/>
      <c r="FB23" s="816"/>
      <c r="FC23" s="816"/>
      <c r="FD23" s="816"/>
      <c r="FE23" s="816"/>
      <c r="FF23" s="816"/>
      <c r="FG23" s="816"/>
      <c r="FH23" s="816"/>
      <c r="FI23" s="816"/>
      <c r="FJ23" s="816"/>
      <c r="FK23" s="816"/>
      <c r="FL23" s="816"/>
      <c r="FM23" s="816"/>
      <c r="FN23" s="816"/>
      <c r="FO23" s="816"/>
      <c r="FP23" s="816"/>
      <c r="FQ23" s="816"/>
      <c r="FR23" s="816"/>
      <c r="FS23" s="816"/>
      <c r="FT23" s="816"/>
      <c r="FU23" s="816"/>
      <c r="FV23" s="816"/>
      <c r="FW23" s="816"/>
      <c r="FX23" s="816"/>
      <c r="FY23" s="816"/>
      <c r="FZ23" s="816"/>
      <c r="GA23" s="816"/>
      <c r="GB23" s="816"/>
      <c r="GC23" s="816"/>
      <c r="GD23" s="816"/>
      <c r="GE23" s="816"/>
      <c r="GF23" s="816"/>
      <c r="GG23" s="816"/>
      <c r="GH23" s="816"/>
      <c r="GI23" s="816"/>
      <c r="GJ23" s="816"/>
      <c r="GK23" s="816"/>
      <c r="GL23" s="816"/>
      <c r="GM23" s="816"/>
      <c r="GN23" s="816"/>
      <c r="GO23" s="816"/>
      <c r="GP23" s="816"/>
      <c r="GQ23" s="816"/>
      <c r="GR23" s="816"/>
      <c r="GS23" s="816"/>
      <c r="GT23" s="816"/>
      <c r="GU23" s="816"/>
      <c r="GV23" s="816"/>
      <c r="GW23" s="816"/>
      <c r="GX23" s="816"/>
      <c r="GY23" s="816"/>
      <c r="GZ23" s="816"/>
      <c r="HA23" s="816"/>
      <c r="HB23" s="816"/>
      <c r="HC23" s="816"/>
      <c r="HD23" s="816"/>
      <c r="HE23" s="816"/>
      <c r="HF23" s="816"/>
      <c r="HG23" s="816"/>
      <c r="HH23" s="816"/>
      <c r="HI23" s="816"/>
      <c r="HJ23" s="816"/>
      <c r="HK23" s="816"/>
      <c r="HL23" s="816"/>
      <c r="HM23" s="816"/>
      <c r="HN23" s="816"/>
      <c r="HO23" s="816"/>
      <c r="HP23" s="816"/>
      <c r="HQ23" s="816"/>
      <c r="HR23" s="816"/>
      <c r="HS23" s="816"/>
      <c r="HT23" s="816"/>
      <c r="HU23" s="816"/>
      <c r="HV23" s="816"/>
      <c r="HW23" s="816"/>
      <c r="HX23" s="816"/>
      <c r="HY23" s="816"/>
      <c r="HZ23" s="816"/>
      <c r="IA23" s="816"/>
      <c r="IB23" s="816"/>
      <c r="IC23" s="816"/>
      <c r="ID23" s="816"/>
      <c r="IE23" s="816"/>
      <c r="IF23" s="816"/>
      <c r="IG23" s="816"/>
      <c r="IH23" s="816"/>
      <c r="II23" s="816"/>
      <c r="IJ23" s="816"/>
      <c r="IK23" s="816"/>
      <c r="IL23" s="816"/>
      <c r="IM23" s="816"/>
      <c r="IN23" s="816"/>
      <c r="IO23" s="816"/>
      <c r="IP23" s="816"/>
      <c r="IQ23" s="816"/>
      <c r="IR23" s="816"/>
      <c r="IS23" s="816"/>
      <c r="IT23" s="816"/>
      <c r="IU23" s="816"/>
      <c r="IV23" s="816"/>
    </row>
    <row r="24" spans="1:256">
      <c r="A24" s="820">
        <f t="shared" si="2"/>
        <v>11</v>
      </c>
      <c r="B24" s="817" t="s">
        <v>48</v>
      </c>
      <c r="C24" s="829">
        <f t="shared" si="3"/>
        <v>0</v>
      </c>
      <c r="D24" s="829">
        <f t="shared" si="5"/>
        <v>0</v>
      </c>
      <c r="E24" s="817">
        <v>30</v>
      </c>
      <c r="F24" s="711">
        <v>185</v>
      </c>
      <c r="G24" s="830">
        <f t="shared" si="0"/>
        <v>0.50684931506849318</v>
      </c>
      <c r="H24" s="829">
        <f t="shared" si="1"/>
        <v>0</v>
      </c>
      <c r="I24" s="829">
        <f>I23+H24</f>
        <v>0</v>
      </c>
      <c r="J24" s="816"/>
      <c r="K24" s="816"/>
      <c r="L24" s="816"/>
      <c r="M24" s="816"/>
      <c r="N24" s="816"/>
      <c r="O24" s="816"/>
      <c r="P24" s="816"/>
      <c r="Q24" s="816"/>
      <c r="R24" s="816"/>
      <c r="S24" s="816"/>
      <c r="T24" s="816"/>
      <c r="U24" s="816"/>
      <c r="V24" s="816"/>
      <c r="W24" s="816"/>
      <c r="X24" s="816"/>
      <c r="Y24" s="816"/>
      <c r="Z24" s="816"/>
      <c r="AA24" s="816"/>
      <c r="AB24" s="816"/>
      <c r="AC24" s="816"/>
      <c r="AD24" s="816"/>
      <c r="AE24" s="816"/>
      <c r="AF24" s="816"/>
      <c r="AG24" s="816"/>
      <c r="AH24" s="816"/>
      <c r="AI24" s="816"/>
      <c r="AJ24" s="816"/>
      <c r="AK24" s="816"/>
      <c r="AL24" s="816"/>
      <c r="AM24" s="816"/>
      <c r="AN24" s="816"/>
      <c r="AO24" s="816"/>
      <c r="AP24" s="816"/>
      <c r="AQ24" s="816"/>
      <c r="AR24" s="816"/>
      <c r="AS24" s="816"/>
      <c r="AT24" s="816"/>
      <c r="AU24" s="816"/>
      <c r="AV24" s="816"/>
      <c r="AW24" s="816"/>
      <c r="AX24" s="816"/>
      <c r="AY24" s="816"/>
      <c r="AZ24" s="816"/>
      <c r="BA24" s="816"/>
      <c r="BB24" s="816"/>
      <c r="BC24" s="816"/>
      <c r="BD24" s="816"/>
      <c r="BE24" s="816"/>
      <c r="BF24" s="816"/>
      <c r="BG24" s="816"/>
      <c r="BH24" s="816"/>
      <c r="BI24" s="816"/>
      <c r="BJ24" s="816"/>
      <c r="BK24" s="816"/>
      <c r="BL24" s="816"/>
      <c r="BM24" s="816"/>
      <c r="BN24" s="816"/>
      <c r="BO24" s="816"/>
      <c r="BP24" s="816"/>
      <c r="BQ24" s="816"/>
      <c r="BR24" s="816"/>
      <c r="BS24" s="816"/>
      <c r="BT24" s="816"/>
      <c r="BU24" s="816"/>
      <c r="BV24" s="816"/>
      <c r="BW24" s="816"/>
      <c r="BX24" s="816"/>
      <c r="BY24" s="816"/>
      <c r="BZ24" s="816"/>
      <c r="CA24" s="816"/>
      <c r="CB24" s="816"/>
      <c r="CC24" s="816"/>
      <c r="CD24" s="816"/>
      <c r="CE24" s="816"/>
      <c r="CF24" s="816"/>
      <c r="CG24" s="816"/>
      <c r="CH24" s="816"/>
      <c r="CI24" s="816"/>
      <c r="CJ24" s="816"/>
      <c r="CK24" s="816"/>
      <c r="CL24" s="816"/>
      <c r="CM24" s="816"/>
      <c r="CN24" s="816"/>
      <c r="CO24" s="816"/>
      <c r="CP24" s="816"/>
      <c r="CQ24" s="816"/>
      <c r="CR24" s="816"/>
      <c r="CS24" s="816"/>
      <c r="CT24" s="816"/>
      <c r="CU24" s="816"/>
      <c r="CV24" s="816"/>
      <c r="CW24" s="816"/>
      <c r="CX24" s="816"/>
      <c r="CY24" s="816"/>
      <c r="CZ24" s="816"/>
      <c r="DA24" s="816"/>
      <c r="DB24" s="816"/>
      <c r="DC24" s="816"/>
      <c r="DD24" s="816"/>
      <c r="DE24" s="816"/>
      <c r="DF24" s="816"/>
      <c r="DG24" s="816"/>
      <c r="DH24" s="816"/>
      <c r="DI24" s="816"/>
      <c r="DJ24" s="816"/>
      <c r="DK24" s="816"/>
      <c r="DL24" s="816"/>
      <c r="DM24" s="816"/>
      <c r="DN24" s="816"/>
      <c r="DO24" s="816"/>
      <c r="DP24" s="816"/>
      <c r="DQ24" s="816"/>
      <c r="DR24" s="816"/>
      <c r="DS24" s="816"/>
      <c r="DT24" s="816"/>
      <c r="DU24" s="816"/>
      <c r="DV24" s="816"/>
      <c r="DW24" s="816"/>
      <c r="DX24" s="816"/>
      <c r="DY24" s="816"/>
      <c r="DZ24" s="816"/>
      <c r="EA24" s="816"/>
      <c r="EB24" s="816"/>
      <c r="EC24" s="816"/>
      <c r="ED24" s="816"/>
      <c r="EE24" s="816"/>
      <c r="EF24" s="816"/>
      <c r="EG24" s="816"/>
      <c r="EH24" s="816"/>
      <c r="EI24" s="816"/>
      <c r="EJ24" s="816"/>
      <c r="EK24" s="816"/>
      <c r="EL24" s="816"/>
      <c r="EM24" s="816"/>
      <c r="EN24" s="816"/>
      <c r="EO24" s="816"/>
      <c r="EP24" s="816"/>
      <c r="EQ24" s="816"/>
      <c r="ER24" s="816"/>
      <c r="ES24" s="816"/>
      <c r="ET24" s="816"/>
      <c r="EU24" s="816"/>
      <c r="EV24" s="816"/>
      <c r="EW24" s="816"/>
      <c r="EX24" s="816"/>
      <c r="EY24" s="816"/>
      <c r="EZ24" s="816"/>
      <c r="FA24" s="816"/>
      <c r="FB24" s="816"/>
      <c r="FC24" s="816"/>
      <c r="FD24" s="816"/>
      <c r="FE24" s="816"/>
      <c r="FF24" s="816"/>
      <c r="FG24" s="816"/>
      <c r="FH24" s="816"/>
      <c r="FI24" s="816"/>
      <c r="FJ24" s="816"/>
      <c r="FK24" s="816"/>
      <c r="FL24" s="816"/>
      <c r="FM24" s="816"/>
      <c r="FN24" s="816"/>
      <c r="FO24" s="816"/>
      <c r="FP24" s="816"/>
      <c r="FQ24" s="816"/>
      <c r="FR24" s="816"/>
      <c r="FS24" s="816"/>
      <c r="FT24" s="816"/>
      <c r="FU24" s="816"/>
      <c r="FV24" s="816"/>
      <c r="FW24" s="816"/>
      <c r="FX24" s="816"/>
      <c r="FY24" s="816"/>
      <c r="FZ24" s="816"/>
      <c r="GA24" s="816"/>
      <c r="GB24" s="816"/>
      <c r="GC24" s="816"/>
      <c r="GD24" s="816"/>
      <c r="GE24" s="816"/>
      <c r="GF24" s="816"/>
      <c r="GG24" s="816"/>
      <c r="GH24" s="816"/>
      <c r="GI24" s="816"/>
      <c r="GJ24" s="816"/>
      <c r="GK24" s="816"/>
      <c r="GL24" s="816"/>
      <c r="GM24" s="816"/>
      <c r="GN24" s="816"/>
      <c r="GO24" s="816"/>
      <c r="GP24" s="816"/>
      <c r="GQ24" s="816"/>
      <c r="GR24" s="816"/>
      <c r="GS24" s="816"/>
      <c r="GT24" s="816"/>
      <c r="GU24" s="816"/>
      <c r="GV24" s="816"/>
      <c r="GW24" s="816"/>
      <c r="GX24" s="816"/>
      <c r="GY24" s="816"/>
      <c r="GZ24" s="816"/>
      <c r="HA24" s="816"/>
      <c r="HB24" s="816"/>
      <c r="HC24" s="816"/>
      <c r="HD24" s="816"/>
      <c r="HE24" s="816"/>
      <c r="HF24" s="816"/>
      <c r="HG24" s="816"/>
      <c r="HH24" s="816"/>
      <c r="HI24" s="816"/>
      <c r="HJ24" s="816"/>
      <c r="HK24" s="816"/>
      <c r="HL24" s="816"/>
      <c r="HM24" s="816"/>
      <c r="HN24" s="816"/>
      <c r="HO24" s="816"/>
      <c r="HP24" s="816"/>
      <c r="HQ24" s="816"/>
      <c r="HR24" s="816"/>
      <c r="HS24" s="816"/>
      <c r="HT24" s="816"/>
      <c r="HU24" s="816"/>
      <c r="HV24" s="816"/>
      <c r="HW24" s="816"/>
      <c r="HX24" s="816"/>
      <c r="HY24" s="816"/>
      <c r="HZ24" s="816"/>
      <c r="IA24" s="816"/>
      <c r="IB24" s="816"/>
      <c r="IC24" s="816"/>
      <c r="ID24" s="816"/>
      <c r="IE24" s="816"/>
      <c r="IF24" s="816"/>
      <c r="IG24" s="816"/>
      <c r="IH24" s="816"/>
      <c r="II24" s="816"/>
      <c r="IJ24" s="816"/>
      <c r="IK24" s="816"/>
      <c r="IL24" s="816"/>
      <c r="IM24" s="816"/>
      <c r="IN24" s="816"/>
      <c r="IO24" s="816"/>
      <c r="IP24" s="816"/>
      <c r="IQ24" s="816"/>
      <c r="IR24" s="816"/>
      <c r="IS24" s="816"/>
      <c r="IT24" s="816"/>
      <c r="IU24" s="816"/>
      <c r="IV24" s="816"/>
    </row>
    <row r="25" spans="1:256">
      <c r="A25" s="820">
        <f t="shared" si="2"/>
        <v>12</v>
      </c>
      <c r="B25" s="817" t="s">
        <v>326</v>
      </c>
      <c r="C25" s="829">
        <f t="shared" si="3"/>
        <v>0</v>
      </c>
      <c r="D25" s="829">
        <f t="shared" si="5"/>
        <v>0</v>
      </c>
      <c r="E25" s="817">
        <v>31</v>
      </c>
      <c r="F25" s="711">
        <v>154</v>
      </c>
      <c r="G25" s="830">
        <f t="shared" si="0"/>
        <v>0.42191780821917807</v>
      </c>
      <c r="H25" s="829">
        <f t="shared" si="1"/>
        <v>0</v>
      </c>
      <c r="I25" s="829">
        <f t="shared" si="4"/>
        <v>0</v>
      </c>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816"/>
      <c r="BN25" s="816"/>
      <c r="BO25" s="816"/>
      <c r="BP25" s="816"/>
      <c r="BQ25" s="816"/>
      <c r="BR25" s="816"/>
      <c r="BS25" s="816"/>
      <c r="BT25" s="816"/>
      <c r="BU25" s="816"/>
      <c r="BV25" s="816"/>
      <c r="BW25" s="816"/>
      <c r="BX25" s="816"/>
      <c r="BY25" s="816"/>
      <c r="BZ25" s="816"/>
      <c r="CA25" s="816"/>
      <c r="CB25" s="816"/>
      <c r="CC25" s="816"/>
      <c r="CD25" s="816"/>
      <c r="CE25" s="816"/>
      <c r="CF25" s="816"/>
      <c r="CG25" s="816"/>
      <c r="CH25" s="816"/>
      <c r="CI25" s="816"/>
      <c r="CJ25" s="816"/>
      <c r="CK25" s="816"/>
      <c r="CL25" s="816"/>
      <c r="CM25" s="816"/>
      <c r="CN25" s="816"/>
      <c r="CO25" s="816"/>
      <c r="CP25" s="816"/>
      <c r="CQ25" s="816"/>
      <c r="CR25" s="816"/>
      <c r="CS25" s="816"/>
      <c r="CT25" s="816"/>
      <c r="CU25" s="816"/>
      <c r="CV25" s="816"/>
      <c r="CW25" s="816"/>
      <c r="CX25" s="816"/>
      <c r="CY25" s="816"/>
      <c r="CZ25" s="816"/>
      <c r="DA25" s="816"/>
      <c r="DB25" s="816"/>
      <c r="DC25" s="816"/>
      <c r="DD25" s="816"/>
      <c r="DE25" s="816"/>
      <c r="DF25" s="816"/>
      <c r="DG25" s="816"/>
      <c r="DH25" s="816"/>
      <c r="DI25" s="816"/>
      <c r="DJ25" s="816"/>
      <c r="DK25" s="816"/>
      <c r="DL25" s="816"/>
      <c r="DM25" s="816"/>
      <c r="DN25" s="816"/>
      <c r="DO25" s="816"/>
      <c r="DP25" s="816"/>
      <c r="DQ25" s="816"/>
      <c r="DR25" s="816"/>
      <c r="DS25" s="816"/>
      <c r="DT25" s="816"/>
      <c r="DU25" s="816"/>
      <c r="DV25" s="816"/>
      <c r="DW25" s="816"/>
      <c r="DX25" s="816"/>
      <c r="DY25" s="816"/>
      <c r="DZ25" s="816"/>
      <c r="EA25" s="816"/>
      <c r="EB25" s="816"/>
      <c r="EC25" s="816"/>
      <c r="ED25" s="816"/>
      <c r="EE25" s="816"/>
      <c r="EF25" s="816"/>
      <c r="EG25" s="816"/>
      <c r="EH25" s="816"/>
      <c r="EI25" s="816"/>
      <c r="EJ25" s="816"/>
      <c r="EK25" s="816"/>
      <c r="EL25" s="816"/>
      <c r="EM25" s="816"/>
      <c r="EN25" s="816"/>
      <c r="EO25" s="816"/>
      <c r="EP25" s="816"/>
      <c r="EQ25" s="816"/>
      <c r="ER25" s="816"/>
      <c r="ES25" s="816"/>
      <c r="ET25" s="816"/>
      <c r="EU25" s="816"/>
      <c r="EV25" s="816"/>
      <c r="EW25" s="816"/>
      <c r="EX25" s="816"/>
      <c r="EY25" s="816"/>
      <c r="EZ25" s="816"/>
      <c r="FA25" s="816"/>
      <c r="FB25" s="816"/>
      <c r="FC25" s="816"/>
      <c r="FD25" s="816"/>
      <c r="FE25" s="816"/>
      <c r="FF25" s="816"/>
      <c r="FG25" s="816"/>
      <c r="FH25" s="816"/>
      <c r="FI25" s="816"/>
      <c r="FJ25" s="816"/>
      <c r="FK25" s="816"/>
      <c r="FL25" s="816"/>
      <c r="FM25" s="816"/>
      <c r="FN25" s="816"/>
      <c r="FO25" s="816"/>
      <c r="FP25" s="816"/>
      <c r="FQ25" s="816"/>
      <c r="FR25" s="816"/>
      <c r="FS25" s="816"/>
      <c r="FT25" s="816"/>
      <c r="FU25" s="816"/>
      <c r="FV25" s="816"/>
      <c r="FW25" s="816"/>
      <c r="FX25" s="816"/>
      <c r="FY25" s="816"/>
      <c r="FZ25" s="816"/>
      <c r="GA25" s="816"/>
      <c r="GB25" s="816"/>
      <c r="GC25" s="816"/>
      <c r="GD25" s="816"/>
      <c r="GE25" s="816"/>
      <c r="GF25" s="816"/>
      <c r="GG25" s="816"/>
      <c r="GH25" s="816"/>
      <c r="GI25" s="816"/>
      <c r="GJ25" s="816"/>
      <c r="GK25" s="816"/>
      <c r="GL25" s="816"/>
      <c r="GM25" s="816"/>
      <c r="GN25" s="816"/>
      <c r="GO25" s="816"/>
      <c r="GP25" s="816"/>
      <c r="GQ25" s="816"/>
      <c r="GR25" s="816"/>
      <c r="GS25" s="816"/>
      <c r="GT25" s="816"/>
      <c r="GU25" s="816"/>
      <c r="GV25" s="816"/>
      <c r="GW25" s="816"/>
      <c r="GX25" s="816"/>
      <c r="GY25" s="816"/>
      <c r="GZ25" s="816"/>
      <c r="HA25" s="816"/>
      <c r="HB25" s="816"/>
      <c r="HC25" s="816"/>
      <c r="HD25" s="816"/>
      <c r="HE25" s="816"/>
      <c r="HF25" s="816"/>
      <c r="HG25" s="816"/>
      <c r="HH25" s="816"/>
      <c r="HI25" s="816"/>
      <c r="HJ25" s="816"/>
      <c r="HK25" s="816"/>
      <c r="HL25" s="816"/>
      <c r="HM25" s="816"/>
      <c r="HN25" s="816"/>
      <c r="HO25" s="816"/>
      <c r="HP25" s="816"/>
      <c r="HQ25" s="816"/>
      <c r="HR25" s="816"/>
      <c r="HS25" s="816"/>
      <c r="HT25" s="816"/>
      <c r="HU25" s="816"/>
      <c r="HV25" s="816"/>
      <c r="HW25" s="816"/>
      <c r="HX25" s="816"/>
      <c r="HY25" s="816"/>
      <c r="HZ25" s="816"/>
      <c r="IA25" s="816"/>
      <c r="IB25" s="816"/>
      <c r="IC25" s="816"/>
      <c r="ID25" s="816"/>
      <c r="IE25" s="816"/>
      <c r="IF25" s="816"/>
      <c r="IG25" s="816"/>
      <c r="IH25" s="816"/>
      <c r="II25" s="816"/>
      <c r="IJ25" s="816"/>
      <c r="IK25" s="816"/>
      <c r="IL25" s="816"/>
      <c r="IM25" s="816"/>
      <c r="IN25" s="816"/>
      <c r="IO25" s="816"/>
      <c r="IP25" s="816"/>
      <c r="IQ25" s="816"/>
      <c r="IR25" s="816"/>
      <c r="IS25" s="816"/>
      <c r="IT25" s="816"/>
      <c r="IU25" s="816"/>
      <c r="IV25" s="816"/>
    </row>
    <row r="26" spans="1:256">
      <c r="A26" s="820">
        <f t="shared" si="2"/>
        <v>13</v>
      </c>
      <c r="B26" s="817" t="s">
        <v>327</v>
      </c>
      <c r="C26" s="829">
        <f t="shared" si="3"/>
        <v>0</v>
      </c>
      <c r="D26" s="829">
        <f t="shared" si="5"/>
        <v>0</v>
      </c>
      <c r="E26" s="817">
        <v>31</v>
      </c>
      <c r="F26" s="711">
        <v>123</v>
      </c>
      <c r="G26" s="830">
        <f t="shared" si="0"/>
        <v>0.33698630136986302</v>
      </c>
      <c r="H26" s="829">
        <f t="shared" si="1"/>
        <v>0</v>
      </c>
      <c r="I26" s="829">
        <f t="shared" si="4"/>
        <v>0</v>
      </c>
      <c r="J26" s="816"/>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6"/>
      <c r="AO26" s="816"/>
      <c r="AP26" s="816"/>
      <c r="AQ26" s="816"/>
      <c r="AR26" s="816"/>
      <c r="AS26" s="816"/>
      <c r="AT26" s="816"/>
      <c r="AU26" s="816"/>
      <c r="AV26" s="816"/>
      <c r="AW26" s="816"/>
      <c r="AX26" s="816"/>
      <c r="AY26" s="816"/>
      <c r="AZ26" s="816"/>
      <c r="BA26" s="816"/>
      <c r="BB26" s="816"/>
      <c r="BC26" s="816"/>
      <c r="BD26" s="816"/>
      <c r="BE26" s="816"/>
      <c r="BF26" s="816"/>
      <c r="BG26" s="816"/>
      <c r="BH26" s="816"/>
      <c r="BI26" s="816"/>
      <c r="BJ26" s="816"/>
      <c r="BK26" s="816"/>
      <c r="BL26" s="816"/>
      <c r="BM26" s="816"/>
      <c r="BN26" s="816"/>
      <c r="BO26" s="816"/>
      <c r="BP26" s="816"/>
      <c r="BQ26" s="816"/>
      <c r="BR26" s="816"/>
      <c r="BS26" s="816"/>
      <c r="BT26" s="816"/>
      <c r="BU26" s="816"/>
      <c r="BV26" s="816"/>
      <c r="BW26" s="816"/>
      <c r="BX26" s="816"/>
      <c r="BY26" s="816"/>
      <c r="BZ26" s="816"/>
      <c r="CA26" s="816"/>
      <c r="CB26" s="816"/>
      <c r="CC26" s="816"/>
      <c r="CD26" s="816"/>
      <c r="CE26" s="816"/>
      <c r="CF26" s="816"/>
      <c r="CG26" s="816"/>
      <c r="CH26" s="816"/>
      <c r="CI26" s="816"/>
      <c r="CJ26" s="816"/>
      <c r="CK26" s="816"/>
      <c r="CL26" s="816"/>
      <c r="CM26" s="816"/>
      <c r="CN26" s="816"/>
      <c r="CO26" s="816"/>
      <c r="CP26" s="816"/>
      <c r="CQ26" s="816"/>
      <c r="CR26" s="816"/>
      <c r="CS26" s="816"/>
      <c r="CT26" s="816"/>
      <c r="CU26" s="816"/>
      <c r="CV26" s="816"/>
      <c r="CW26" s="816"/>
      <c r="CX26" s="816"/>
      <c r="CY26" s="816"/>
      <c r="CZ26" s="816"/>
      <c r="DA26" s="816"/>
      <c r="DB26" s="816"/>
      <c r="DC26" s="816"/>
      <c r="DD26" s="816"/>
      <c r="DE26" s="816"/>
      <c r="DF26" s="816"/>
      <c r="DG26" s="816"/>
      <c r="DH26" s="816"/>
      <c r="DI26" s="816"/>
      <c r="DJ26" s="816"/>
      <c r="DK26" s="816"/>
      <c r="DL26" s="816"/>
      <c r="DM26" s="816"/>
      <c r="DN26" s="816"/>
      <c r="DO26" s="816"/>
      <c r="DP26" s="816"/>
      <c r="DQ26" s="816"/>
      <c r="DR26" s="816"/>
      <c r="DS26" s="816"/>
      <c r="DT26" s="816"/>
      <c r="DU26" s="816"/>
      <c r="DV26" s="816"/>
      <c r="DW26" s="816"/>
      <c r="DX26" s="816"/>
      <c r="DY26" s="816"/>
      <c r="DZ26" s="816"/>
      <c r="EA26" s="816"/>
      <c r="EB26" s="816"/>
      <c r="EC26" s="816"/>
      <c r="ED26" s="816"/>
      <c r="EE26" s="816"/>
      <c r="EF26" s="816"/>
      <c r="EG26" s="816"/>
      <c r="EH26" s="816"/>
      <c r="EI26" s="816"/>
      <c r="EJ26" s="816"/>
      <c r="EK26" s="816"/>
      <c r="EL26" s="816"/>
      <c r="EM26" s="816"/>
      <c r="EN26" s="816"/>
      <c r="EO26" s="816"/>
      <c r="EP26" s="816"/>
      <c r="EQ26" s="816"/>
      <c r="ER26" s="816"/>
      <c r="ES26" s="816"/>
      <c r="ET26" s="816"/>
      <c r="EU26" s="816"/>
      <c r="EV26" s="816"/>
      <c r="EW26" s="816"/>
      <c r="EX26" s="816"/>
      <c r="EY26" s="816"/>
      <c r="EZ26" s="816"/>
      <c r="FA26" s="816"/>
      <c r="FB26" s="816"/>
      <c r="FC26" s="816"/>
      <c r="FD26" s="816"/>
      <c r="FE26" s="816"/>
      <c r="FF26" s="816"/>
      <c r="FG26" s="816"/>
      <c r="FH26" s="816"/>
      <c r="FI26" s="816"/>
      <c r="FJ26" s="816"/>
      <c r="FK26" s="816"/>
      <c r="FL26" s="816"/>
      <c r="FM26" s="816"/>
      <c r="FN26" s="816"/>
      <c r="FO26" s="816"/>
      <c r="FP26" s="816"/>
      <c r="FQ26" s="816"/>
      <c r="FR26" s="816"/>
      <c r="FS26" s="816"/>
      <c r="FT26" s="816"/>
      <c r="FU26" s="816"/>
      <c r="FV26" s="816"/>
      <c r="FW26" s="816"/>
      <c r="FX26" s="816"/>
      <c r="FY26" s="816"/>
      <c r="FZ26" s="816"/>
      <c r="GA26" s="816"/>
      <c r="GB26" s="816"/>
      <c r="GC26" s="816"/>
      <c r="GD26" s="816"/>
      <c r="GE26" s="816"/>
      <c r="GF26" s="816"/>
      <c r="GG26" s="816"/>
      <c r="GH26" s="816"/>
      <c r="GI26" s="816"/>
      <c r="GJ26" s="816"/>
      <c r="GK26" s="816"/>
      <c r="GL26" s="816"/>
      <c r="GM26" s="816"/>
      <c r="GN26" s="816"/>
      <c r="GO26" s="816"/>
      <c r="GP26" s="816"/>
      <c r="GQ26" s="816"/>
      <c r="GR26" s="816"/>
      <c r="GS26" s="816"/>
      <c r="GT26" s="816"/>
      <c r="GU26" s="816"/>
      <c r="GV26" s="816"/>
      <c r="GW26" s="816"/>
      <c r="GX26" s="816"/>
      <c r="GY26" s="816"/>
      <c r="GZ26" s="816"/>
      <c r="HA26" s="816"/>
      <c r="HB26" s="816"/>
      <c r="HC26" s="816"/>
      <c r="HD26" s="816"/>
      <c r="HE26" s="816"/>
      <c r="HF26" s="816"/>
      <c r="HG26" s="816"/>
      <c r="HH26" s="816"/>
      <c r="HI26" s="816"/>
      <c r="HJ26" s="816"/>
      <c r="HK26" s="816"/>
      <c r="HL26" s="816"/>
      <c r="HM26" s="816"/>
      <c r="HN26" s="816"/>
      <c r="HO26" s="816"/>
      <c r="HP26" s="816"/>
      <c r="HQ26" s="816"/>
      <c r="HR26" s="816"/>
      <c r="HS26" s="816"/>
      <c r="HT26" s="816"/>
      <c r="HU26" s="816"/>
      <c r="HV26" s="816"/>
      <c r="HW26" s="816"/>
      <c r="HX26" s="816"/>
      <c r="HY26" s="816"/>
      <c r="HZ26" s="816"/>
      <c r="IA26" s="816"/>
      <c r="IB26" s="816"/>
      <c r="IC26" s="816"/>
      <c r="ID26" s="816"/>
      <c r="IE26" s="816"/>
      <c r="IF26" s="816"/>
      <c r="IG26" s="816"/>
      <c r="IH26" s="816"/>
      <c r="II26" s="816"/>
      <c r="IJ26" s="816"/>
      <c r="IK26" s="816"/>
      <c r="IL26" s="816"/>
      <c r="IM26" s="816"/>
      <c r="IN26" s="816"/>
      <c r="IO26" s="816"/>
      <c r="IP26" s="816"/>
      <c r="IQ26" s="816"/>
      <c r="IR26" s="816"/>
      <c r="IS26" s="816"/>
      <c r="IT26" s="816"/>
      <c r="IU26" s="816"/>
      <c r="IV26" s="816"/>
    </row>
    <row r="27" spans="1:256">
      <c r="A27" s="820">
        <f t="shared" si="2"/>
        <v>14</v>
      </c>
      <c r="B27" s="817" t="s">
        <v>329</v>
      </c>
      <c r="C27" s="829">
        <f t="shared" si="3"/>
        <v>0</v>
      </c>
      <c r="D27" s="829">
        <f t="shared" si="5"/>
        <v>0</v>
      </c>
      <c r="E27" s="817">
        <v>30</v>
      </c>
      <c r="F27" s="711">
        <v>93</v>
      </c>
      <c r="G27" s="830">
        <f t="shared" si="0"/>
        <v>0.25479452054794521</v>
      </c>
      <c r="H27" s="829">
        <f t="shared" si="1"/>
        <v>0</v>
      </c>
      <c r="I27" s="829">
        <f t="shared" si="4"/>
        <v>0</v>
      </c>
      <c r="J27" s="816"/>
      <c r="K27" s="816"/>
      <c r="L27" s="816"/>
      <c r="M27" s="816"/>
      <c r="N27" s="816"/>
      <c r="O27" s="816"/>
      <c r="P27" s="816"/>
      <c r="Q27" s="816"/>
      <c r="R27" s="816"/>
      <c r="S27" s="816"/>
      <c r="T27" s="816"/>
      <c r="U27" s="816"/>
      <c r="V27" s="816"/>
      <c r="W27" s="816"/>
      <c r="X27" s="816"/>
      <c r="Y27" s="816"/>
      <c r="Z27" s="816"/>
      <c r="AA27" s="816"/>
      <c r="AB27" s="816"/>
      <c r="AC27" s="816"/>
      <c r="AD27" s="816"/>
      <c r="AE27" s="816"/>
      <c r="AF27" s="816"/>
      <c r="AG27" s="816"/>
      <c r="AH27" s="816"/>
      <c r="AI27" s="816"/>
      <c r="AJ27" s="816"/>
      <c r="AK27" s="816"/>
      <c r="AL27" s="816"/>
      <c r="AM27" s="816"/>
      <c r="AN27" s="816"/>
      <c r="AO27" s="816"/>
      <c r="AP27" s="816"/>
      <c r="AQ27" s="816"/>
      <c r="AR27" s="816"/>
      <c r="AS27" s="816"/>
      <c r="AT27" s="816"/>
      <c r="AU27" s="816"/>
      <c r="AV27" s="816"/>
      <c r="AW27" s="816"/>
      <c r="AX27" s="816"/>
      <c r="AY27" s="816"/>
      <c r="AZ27" s="816"/>
      <c r="BA27" s="816"/>
      <c r="BB27" s="816"/>
      <c r="BC27" s="816"/>
      <c r="BD27" s="816"/>
      <c r="BE27" s="816"/>
      <c r="BF27" s="816"/>
      <c r="BG27" s="816"/>
      <c r="BH27" s="816"/>
      <c r="BI27" s="816"/>
      <c r="BJ27" s="816"/>
      <c r="BK27" s="816"/>
      <c r="BL27" s="816"/>
      <c r="BM27" s="816"/>
      <c r="BN27" s="816"/>
      <c r="BO27" s="816"/>
      <c r="BP27" s="816"/>
      <c r="BQ27" s="816"/>
      <c r="BR27" s="816"/>
      <c r="BS27" s="816"/>
      <c r="BT27" s="816"/>
      <c r="BU27" s="816"/>
      <c r="BV27" s="816"/>
      <c r="BW27" s="816"/>
      <c r="BX27" s="816"/>
      <c r="BY27" s="816"/>
      <c r="BZ27" s="816"/>
      <c r="CA27" s="816"/>
      <c r="CB27" s="816"/>
      <c r="CC27" s="816"/>
      <c r="CD27" s="816"/>
      <c r="CE27" s="816"/>
      <c r="CF27" s="816"/>
      <c r="CG27" s="816"/>
      <c r="CH27" s="816"/>
      <c r="CI27" s="816"/>
      <c r="CJ27" s="816"/>
      <c r="CK27" s="816"/>
      <c r="CL27" s="816"/>
      <c r="CM27" s="816"/>
      <c r="CN27" s="816"/>
      <c r="CO27" s="816"/>
      <c r="CP27" s="816"/>
      <c r="CQ27" s="816"/>
      <c r="CR27" s="816"/>
      <c r="CS27" s="816"/>
      <c r="CT27" s="816"/>
      <c r="CU27" s="816"/>
      <c r="CV27" s="816"/>
      <c r="CW27" s="816"/>
      <c r="CX27" s="816"/>
      <c r="CY27" s="816"/>
      <c r="CZ27" s="816"/>
      <c r="DA27" s="816"/>
      <c r="DB27" s="816"/>
      <c r="DC27" s="816"/>
      <c r="DD27" s="816"/>
      <c r="DE27" s="816"/>
      <c r="DF27" s="816"/>
      <c r="DG27" s="816"/>
      <c r="DH27" s="816"/>
      <c r="DI27" s="816"/>
      <c r="DJ27" s="816"/>
      <c r="DK27" s="816"/>
      <c r="DL27" s="816"/>
      <c r="DM27" s="816"/>
      <c r="DN27" s="816"/>
      <c r="DO27" s="816"/>
      <c r="DP27" s="816"/>
      <c r="DQ27" s="816"/>
      <c r="DR27" s="816"/>
      <c r="DS27" s="816"/>
      <c r="DT27" s="816"/>
      <c r="DU27" s="816"/>
      <c r="DV27" s="816"/>
      <c r="DW27" s="816"/>
      <c r="DX27" s="816"/>
      <c r="DY27" s="816"/>
      <c r="DZ27" s="816"/>
      <c r="EA27" s="816"/>
      <c r="EB27" s="816"/>
      <c r="EC27" s="816"/>
      <c r="ED27" s="816"/>
      <c r="EE27" s="816"/>
      <c r="EF27" s="816"/>
      <c r="EG27" s="816"/>
      <c r="EH27" s="816"/>
      <c r="EI27" s="816"/>
      <c r="EJ27" s="816"/>
      <c r="EK27" s="816"/>
      <c r="EL27" s="816"/>
      <c r="EM27" s="816"/>
      <c r="EN27" s="816"/>
      <c r="EO27" s="816"/>
      <c r="EP27" s="816"/>
      <c r="EQ27" s="816"/>
      <c r="ER27" s="816"/>
      <c r="ES27" s="816"/>
      <c r="ET27" s="816"/>
      <c r="EU27" s="816"/>
      <c r="EV27" s="816"/>
      <c r="EW27" s="816"/>
      <c r="EX27" s="816"/>
      <c r="EY27" s="816"/>
      <c r="EZ27" s="816"/>
      <c r="FA27" s="816"/>
      <c r="FB27" s="816"/>
      <c r="FC27" s="816"/>
      <c r="FD27" s="816"/>
      <c r="FE27" s="816"/>
      <c r="FF27" s="816"/>
      <c r="FG27" s="816"/>
      <c r="FH27" s="816"/>
      <c r="FI27" s="816"/>
      <c r="FJ27" s="816"/>
      <c r="FK27" s="816"/>
      <c r="FL27" s="816"/>
      <c r="FM27" s="816"/>
      <c r="FN27" s="816"/>
      <c r="FO27" s="816"/>
      <c r="FP27" s="816"/>
      <c r="FQ27" s="816"/>
      <c r="FR27" s="816"/>
      <c r="FS27" s="816"/>
      <c r="FT27" s="816"/>
      <c r="FU27" s="816"/>
      <c r="FV27" s="816"/>
      <c r="FW27" s="816"/>
      <c r="FX27" s="816"/>
      <c r="FY27" s="816"/>
      <c r="FZ27" s="816"/>
      <c r="GA27" s="816"/>
      <c r="GB27" s="816"/>
      <c r="GC27" s="816"/>
      <c r="GD27" s="816"/>
      <c r="GE27" s="816"/>
      <c r="GF27" s="816"/>
      <c r="GG27" s="816"/>
      <c r="GH27" s="816"/>
      <c r="GI27" s="816"/>
      <c r="GJ27" s="816"/>
      <c r="GK27" s="816"/>
      <c r="GL27" s="816"/>
      <c r="GM27" s="816"/>
      <c r="GN27" s="816"/>
      <c r="GO27" s="816"/>
      <c r="GP27" s="816"/>
      <c r="GQ27" s="816"/>
      <c r="GR27" s="816"/>
      <c r="GS27" s="816"/>
      <c r="GT27" s="816"/>
      <c r="GU27" s="816"/>
      <c r="GV27" s="816"/>
      <c r="GW27" s="816"/>
      <c r="GX27" s="816"/>
      <c r="GY27" s="816"/>
      <c r="GZ27" s="816"/>
      <c r="HA27" s="816"/>
      <c r="HB27" s="816"/>
      <c r="HC27" s="816"/>
      <c r="HD27" s="816"/>
      <c r="HE27" s="816"/>
      <c r="HF27" s="816"/>
      <c r="HG27" s="816"/>
      <c r="HH27" s="816"/>
      <c r="HI27" s="816"/>
      <c r="HJ27" s="816"/>
      <c r="HK27" s="816"/>
      <c r="HL27" s="816"/>
      <c r="HM27" s="816"/>
      <c r="HN27" s="816"/>
      <c r="HO27" s="816"/>
      <c r="HP27" s="816"/>
      <c r="HQ27" s="816"/>
      <c r="HR27" s="816"/>
      <c r="HS27" s="816"/>
      <c r="HT27" s="816"/>
      <c r="HU27" s="816"/>
      <c r="HV27" s="816"/>
      <c r="HW27" s="816"/>
      <c r="HX27" s="816"/>
      <c r="HY27" s="816"/>
      <c r="HZ27" s="816"/>
      <c r="IA27" s="816"/>
      <c r="IB27" s="816"/>
      <c r="IC27" s="816"/>
      <c r="ID27" s="816"/>
      <c r="IE27" s="816"/>
      <c r="IF27" s="816"/>
      <c r="IG27" s="816"/>
      <c r="IH27" s="816"/>
      <c r="II27" s="816"/>
      <c r="IJ27" s="816"/>
      <c r="IK27" s="816"/>
      <c r="IL27" s="816"/>
      <c r="IM27" s="816"/>
      <c r="IN27" s="816"/>
      <c r="IO27" s="816"/>
      <c r="IP27" s="816"/>
      <c r="IQ27" s="816"/>
      <c r="IR27" s="816"/>
      <c r="IS27" s="816"/>
      <c r="IT27" s="816"/>
      <c r="IU27" s="816"/>
      <c r="IV27" s="816"/>
    </row>
    <row r="28" spans="1:256">
      <c r="A28" s="820">
        <f t="shared" si="2"/>
        <v>15</v>
      </c>
      <c r="B28" s="817" t="s">
        <v>516</v>
      </c>
      <c r="C28" s="829">
        <f t="shared" si="3"/>
        <v>0</v>
      </c>
      <c r="D28" s="829">
        <f t="shared" si="5"/>
        <v>0</v>
      </c>
      <c r="E28" s="817">
        <v>31</v>
      </c>
      <c r="F28" s="711">
        <v>62</v>
      </c>
      <c r="G28" s="830">
        <f t="shared" si="0"/>
        <v>0.16986301369863013</v>
      </c>
      <c r="H28" s="829">
        <f t="shared" si="1"/>
        <v>0</v>
      </c>
      <c r="I28" s="829">
        <f t="shared" si="4"/>
        <v>0</v>
      </c>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6"/>
      <c r="AW28" s="816"/>
      <c r="AX28" s="816"/>
      <c r="AY28" s="816"/>
      <c r="AZ28" s="816"/>
      <c r="BA28" s="816"/>
      <c r="BB28" s="816"/>
      <c r="BC28" s="816"/>
      <c r="BD28" s="816"/>
      <c r="BE28" s="816"/>
      <c r="BF28" s="816"/>
      <c r="BG28" s="816"/>
      <c r="BH28" s="816"/>
      <c r="BI28" s="816"/>
      <c r="BJ28" s="816"/>
      <c r="BK28" s="816"/>
      <c r="BL28" s="816"/>
      <c r="BM28" s="816"/>
      <c r="BN28" s="816"/>
      <c r="BO28" s="816"/>
      <c r="BP28" s="816"/>
      <c r="BQ28" s="816"/>
      <c r="BR28" s="816"/>
      <c r="BS28" s="816"/>
      <c r="BT28" s="816"/>
      <c r="BU28" s="816"/>
      <c r="BV28" s="816"/>
      <c r="BW28" s="816"/>
      <c r="BX28" s="816"/>
      <c r="BY28" s="816"/>
      <c r="BZ28" s="816"/>
      <c r="CA28" s="816"/>
      <c r="CB28" s="816"/>
      <c r="CC28" s="816"/>
      <c r="CD28" s="816"/>
      <c r="CE28" s="816"/>
      <c r="CF28" s="816"/>
      <c r="CG28" s="816"/>
      <c r="CH28" s="816"/>
      <c r="CI28" s="816"/>
      <c r="CJ28" s="816"/>
      <c r="CK28" s="816"/>
      <c r="CL28" s="816"/>
      <c r="CM28" s="816"/>
      <c r="CN28" s="816"/>
      <c r="CO28" s="816"/>
      <c r="CP28" s="816"/>
      <c r="CQ28" s="816"/>
      <c r="CR28" s="816"/>
      <c r="CS28" s="816"/>
      <c r="CT28" s="816"/>
      <c r="CU28" s="816"/>
      <c r="CV28" s="816"/>
      <c r="CW28" s="816"/>
      <c r="CX28" s="816"/>
      <c r="CY28" s="816"/>
      <c r="CZ28" s="816"/>
      <c r="DA28" s="816"/>
      <c r="DB28" s="816"/>
      <c r="DC28" s="816"/>
      <c r="DD28" s="816"/>
      <c r="DE28" s="816"/>
      <c r="DF28" s="816"/>
      <c r="DG28" s="816"/>
      <c r="DH28" s="816"/>
      <c r="DI28" s="816"/>
      <c r="DJ28" s="816"/>
      <c r="DK28" s="816"/>
      <c r="DL28" s="816"/>
      <c r="DM28" s="816"/>
      <c r="DN28" s="816"/>
      <c r="DO28" s="816"/>
      <c r="DP28" s="816"/>
      <c r="DQ28" s="816"/>
      <c r="DR28" s="816"/>
      <c r="DS28" s="816"/>
      <c r="DT28" s="816"/>
      <c r="DU28" s="816"/>
      <c r="DV28" s="816"/>
      <c r="DW28" s="816"/>
      <c r="DX28" s="816"/>
      <c r="DY28" s="816"/>
      <c r="DZ28" s="816"/>
      <c r="EA28" s="816"/>
      <c r="EB28" s="816"/>
      <c r="EC28" s="816"/>
      <c r="ED28" s="816"/>
      <c r="EE28" s="816"/>
      <c r="EF28" s="816"/>
      <c r="EG28" s="816"/>
      <c r="EH28" s="816"/>
      <c r="EI28" s="816"/>
      <c r="EJ28" s="816"/>
      <c r="EK28" s="816"/>
      <c r="EL28" s="816"/>
      <c r="EM28" s="816"/>
      <c r="EN28" s="816"/>
      <c r="EO28" s="816"/>
      <c r="EP28" s="816"/>
      <c r="EQ28" s="816"/>
      <c r="ER28" s="816"/>
      <c r="ES28" s="816"/>
      <c r="ET28" s="816"/>
      <c r="EU28" s="816"/>
      <c r="EV28" s="816"/>
      <c r="EW28" s="816"/>
      <c r="EX28" s="816"/>
      <c r="EY28" s="816"/>
      <c r="EZ28" s="816"/>
      <c r="FA28" s="816"/>
      <c r="FB28" s="816"/>
      <c r="FC28" s="816"/>
      <c r="FD28" s="816"/>
      <c r="FE28" s="816"/>
      <c r="FF28" s="816"/>
      <c r="FG28" s="816"/>
      <c r="FH28" s="816"/>
      <c r="FI28" s="816"/>
      <c r="FJ28" s="816"/>
      <c r="FK28" s="816"/>
      <c r="FL28" s="816"/>
      <c r="FM28" s="816"/>
      <c r="FN28" s="816"/>
      <c r="FO28" s="816"/>
      <c r="FP28" s="816"/>
      <c r="FQ28" s="816"/>
      <c r="FR28" s="816"/>
      <c r="FS28" s="816"/>
      <c r="FT28" s="816"/>
      <c r="FU28" s="816"/>
      <c r="FV28" s="816"/>
      <c r="FW28" s="816"/>
      <c r="FX28" s="816"/>
      <c r="FY28" s="816"/>
      <c r="FZ28" s="816"/>
      <c r="GA28" s="816"/>
      <c r="GB28" s="816"/>
      <c r="GC28" s="816"/>
      <c r="GD28" s="816"/>
      <c r="GE28" s="816"/>
      <c r="GF28" s="816"/>
      <c r="GG28" s="816"/>
      <c r="GH28" s="816"/>
      <c r="GI28" s="816"/>
      <c r="GJ28" s="816"/>
      <c r="GK28" s="816"/>
      <c r="GL28" s="816"/>
      <c r="GM28" s="816"/>
      <c r="GN28" s="816"/>
      <c r="GO28" s="816"/>
      <c r="GP28" s="816"/>
      <c r="GQ28" s="816"/>
      <c r="GR28" s="816"/>
      <c r="GS28" s="816"/>
      <c r="GT28" s="816"/>
      <c r="GU28" s="816"/>
      <c r="GV28" s="816"/>
      <c r="GW28" s="816"/>
      <c r="GX28" s="816"/>
      <c r="GY28" s="816"/>
      <c r="GZ28" s="816"/>
      <c r="HA28" s="816"/>
      <c r="HB28" s="816"/>
      <c r="HC28" s="816"/>
      <c r="HD28" s="816"/>
      <c r="HE28" s="816"/>
      <c r="HF28" s="816"/>
      <c r="HG28" s="816"/>
      <c r="HH28" s="816"/>
      <c r="HI28" s="816"/>
      <c r="HJ28" s="816"/>
      <c r="HK28" s="816"/>
      <c r="HL28" s="816"/>
      <c r="HM28" s="816"/>
      <c r="HN28" s="816"/>
      <c r="HO28" s="816"/>
      <c r="HP28" s="816"/>
      <c r="HQ28" s="816"/>
      <c r="HR28" s="816"/>
      <c r="HS28" s="816"/>
      <c r="HT28" s="816"/>
      <c r="HU28" s="816"/>
      <c r="HV28" s="816"/>
      <c r="HW28" s="816"/>
      <c r="HX28" s="816"/>
      <c r="HY28" s="816"/>
      <c r="HZ28" s="816"/>
      <c r="IA28" s="816"/>
      <c r="IB28" s="816"/>
      <c r="IC28" s="816"/>
      <c r="ID28" s="816"/>
      <c r="IE28" s="816"/>
      <c r="IF28" s="816"/>
      <c r="IG28" s="816"/>
      <c r="IH28" s="816"/>
      <c r="II28" s="816"/>
      <c r="IJ28" s="816"/>
      <c r="IK28" s="816"/>
      <c r="IL28" s="816"/>
      <c r="IM28" s="816"/>
      <c r="IN28" s="816"/>
      <c r="IO28" s="816"/>
      <c r="IP28" s="816"/>
      <c r="IQ28" s="816"/>
      <c r="IR28" s="816"/>
      <c r="IS28" s="816"/>
      <c r="IT28" s="816"/>
      <c r="IU28" s="816"/>
      <c r="IV28" s="816"/>
    </row>
    <row r="29" spans="1:256">
      <c r="A29" s="820">
        <f t="shared" si="2"/>
        <v>16</v>
      </c>
      <c r="B29" s="817" t="s">
        <v>517</v>
      </c>
      <c r="C29" s="829">
        <f t="shared" si="3"/>
        <v>0</v>
      </c>
      <c r="D29" s="829">
        <f t="shared" si="5"/>
        <v>0</v>
      </c>
      <c r="E29" s="817">
        <v>30</v>
      </c>
      <c r="F29" s="711">
        <v>32</v>
      </c>
      <c r="G29" s="830">
        <f t="shared" si="0"/>
        <v>8.7671232876712329E-2</v>
      </c>
      <c r="H29" s="829">
        <f t="shared" si="1"/>
        <v>0</v>
      </c>
      <c r="I29" s="829">
        <f t="shared" si="4"/>
        <v>0</v>
      </c>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816"/>
      <c r="BA29" s="816"/>
      <c r="BB29" s="816"/>
      <c r="BC29" s="816"/>
      <c r="BD29" s="816"/>
      <c r="BE29" s="816"/>
      <c r="BF29" s="816"/>
      <c r="BG29" s="816"/>
      <c r="BH29" s="816"/>
      <c r="BI29" s="816"/>
      <c r="BJ29" s="816"/>
      <c r="BK29" s="816"/>
      <c r="BL29" s="816"/>
      <c r="BM29" s="816"/>
      <c r="BN29" s="816"/>
      <c r="BO29" s="816"/>
      <c r="BP29" s="816"/>
      <c r="BQ29" s="816"/>
      <c r="BR29" s="816"/>
      <c r="BS29" s="816"/>
      <c r="BT29" s="816"/>
      <c r="BU29" s="816"/>
      <c r="BV29" s="816"/>
      <c r="BW29" s="816"/>
      <c r="BX29" s="816"/>
      <c r="BY29" s="816"/>
      <c r="BZ29" s="816"/>
      <c r="CA29" s="816"/>
      <c r="CB29" s="816"/>
      <c r="CC29" s="816"/>
      <c r="CD29" s="816"/>
      <c r="CE29" s="816"/>
      <c r="CF29" s="816"/>
      <c r="CG29" s="816"/>
      <c r="CH29" s="816"/>
      <c r="CI29" s="816"/>
      <c r="CJ29" s="816"/>
      <c r="CK29" s="816"/>
      <c r="CL29" s="816"/>
      <c r="CM29" s="816"/>
      <c r="CN29" s="816"/>
      <c r="CO29" s="816"/>
      <c r="CP29" s="816"/>
      <c r="CQ29" s="816"/>
      <c r="CR29" s="816"/>
      <c r="CS29" s="816"/>
      <c r="CT29" s="816"/>
      <c r="CU29" s="816"/>
      <c r="CV29" s="816"/>
      <c r="CW29" s="816"/>
      <c r="CX29" s="816"/>
      <c r="CY29" s="816"/>
      <c r="CZ29" s="816"/>
      <c r="DA29" s="816"/>
      <c r="DB29" s="816"/>
      <c r="DC29" s="816"/>
      <c r="DD29" s="816"/>
      <c r="DE29" s="816"/>
      <c r="DF29" s="816"/>
      <c r="DG29" s="816"/>
      <c r="DH29" s="816"/>
      <c r="DI29" s="816"/>
      <c r="DJ29" s="816"/>
      <c r="DK29" s="816"/>
      <c r="DL29" s="816"/>
      <c r="DM29" s="816"/>
      <c r="DN29" s="816"/>
      <c r="DO29" s="816"/>
      <c r="DP29" s="816"/>
      <c r="DQ29" s="816"/>
      <c r="DR29" s="816"/>
      <c r="DS29" s="816"/>
      <c r="DT29" s="816"/>
      <c r="DU29" s="816"/>
      <c r="DV29" s="816"/>
      <c r="DW29" s="816"/>
      <c r="DX29" s="816"/>
      <c r="DY29" s="816"/>
      <c r="DZ29" s="816"/>
      <c r="EA29" s="816"/>
      <c r="EB29" s="816"/>
      <c r="EC29" s="816"/>
      <c r="ED29" s="816"/>
      <c r="EE29" s="816"/>
      <c r="EF29" s="816"/>
      <c r="EG29" s="816"/>
      <c r="EH29" s="816"/>
      <c r="EI29" s="816"/>
      <c r="EJ29" s="816"/>
      <c r="EK29" s="816"/>
      <c r="EL29" s="816"/>
      <c r="EM29" s="816"/>
      <c r="EN29" s="816"/>
      <c r="EO29" s="816"/>
      <c r="EP29" s="816"/>
      <c r="EQ29" s="816"/>
      <c r="ER29" s="816"/>
      <c r="ES29" s="816"/>
      <c r="ET29" s="816"/>
      <c r="EU29" s="816"/>
      <c r="EV29" s="816"/>
      <c r="EW29" s="816"/>
      <c r="EX29" s="816"/>
      <c r="EY29" s="816"/>
      <c r="EZ29" s="816"/>
      <c r="FA29" s="816"/>
      <c r="FB29" s="816"/>
      <c r="FC29" s="816"/>
      <c r="FD29" s="816"/>
      <c r="FE29" s="816"/>
      <c r="FF29" s="816"/>
      <c r="FG29" s="816"/>
      <c r="FH29" s="816"/>
      <c r="FI29" s="816"/>
      <c r="FJ29" s="816"/>
      <c r="FK29" s="816"/>
      <c r="FL29" s="816"/>
      <c r="FM29" s="816"/>
      <c r="FN29" s="816"/>
      <c r="FO29" s="816"/>
      <c r="FP29" s="816"/>
      <c r="FQ29" s="816"/>
      <c r="FR29" s="816"/>
      <c r="FS29" s="816"/>
      <c r="FT29" s="816"/>
      <c r="FU29" s="816"/>
      <c r="FV29" s="816"/>
      <c r="FW29" s="816"/>
      <c r="FX29" s="816"/>
      <c r="FY29" s="816"/>
      <c r="FZ29" s="816"/>
      <c r="GA29" s="816"/>
      <c r="GB29" s="816"/>
      <c r="GC29" s="816"/>
      <c r="GD29" s="816"/>
      <c r="GE29" s="816"/>
      <c r="GF29" s="816"/>
      <c r="GG29" s="816"/>
      <c r="GH29" s="816"/>
      <c r="GI29" s="816"/>
      <c r="GJ29" s="816"/>
      <c r="GK29" s="816"/>
      <c r="GL29" s="816"/>
      <c r="GM29" s="816"/>
      <c r="GN29" s="816"/>
      <c r="GO29" s="816"/>
      <c r="GP29" s="816"/>
      <c r="GQ29" s="816"/>
      <c r="GR29" s="816"/>
      <c r="GS29" s="816"/>
      <c r="GT29" s="816"/>
      <c r="GU29" s="816"/>
      <c r="GV29" s="816"/>
      <c r="GW29" s="816"/>
      <c r="GX29" s="816"/>
      <c r="GY29" s="816"/>
      <c r="GZ29" s="816"/>
      <c r="HA29" s="816"/>
      <c r="HB29" s="816"/>
      <c r="HC29" s="816"/>
      <c r="HD29" s="816"/>
      <c r="HE29" s="816"/>
      <c r="HF29" s="816"/>
      <c r="HG29" s="816"/>
      <c r="HH29" s="816"/>
      <c r="HI29" s="816"/>
      <c r="HJ29" s="816"/>
      <c r="HK29" s="816"/>
      <c r="HL29" s="816"/>
      <c r="HM29" s="816"/>
      <c r="HN29" s="816"/>
      <c r="HO29" s="816"/>
      <c r="HP29" s="816"/>
      <c r="HQ29" s="816"/>
      <c r="HR29" s="816"/>
      <c r="HS29" s="816"/>
      <c r="HT29" s="816"/>
      <c r="HU29" s="816"/>
      <c r="HV29" s="816"/>
      <c r="HW29" s="816"/>
      <c r="HX29" s="816"/>
      <c r="HY29" s="816"/>
      <c r="HZ29" s="816"/>
      <c r="IA29" s="816"/>
      <c r="IB29" s="816"/>
      <c r="IC29" s="816"/>
      <c r="ID29" s="816"/>
      <c r="IE29" s="816"/>
      <c r="IF29" s="816"/>
      <c r="IG29" s="816"/>
      <c r="IH29" s="816"/>
      <c r="II29" s="816"/>
      <c r="IJ29" s="816"/>
      <c r="IK29" s="816"/>
      <c r="IL29" s="816"/>
      <c r="IM29" s="816"/>
      <c r="IN29" s="816"/>
      <c r="IO29" s="816"/>
      <c r="IP29" s="816"/>
      <c r="IQ29" s="816"/>
      <c r="IR29" s="816"/>
      <c r="IS29" s="816"/>
      <c r="IT29" s="816"/>
      <c r="IU29" s="816"/>
      <c r="IV29" s="816"/>
    </row>
    <row r="30" spans="1:256">
      <c r="A30" s="820">
        <f t="shared" si="2"/>
        <v>17</v>
      </c>
      <c r="B30" s="817" t="s">
        <v>328</v>
      </c>
      <c r="C30" s="829">
        <f t="shared" si="3"/>
        <v>0</v>
      </c>
      <c r="D30" s="829">
        <f t="shared" si="5"/>
        <v>0</v>
      </c>
      <c r="E30" s="817">
        <v>31</v>
      </c>
      <c r="F30" s="711">
        <f>F29-E30</f>
        <v>1</v>
      </c>
      <c r="G30" s="830">
        <f t="shared" si="0"/>
        <v>2.7397260273972603E-3</v>
      </c>
      <c r="H30" s="829">
        <f t="shared" si="1"/>
        <v>0</v>
      </c>
      <c r="I30" s="829">
        <f t="shared" si="4"/>
        <v>0</v>
      </c>
      <c r="J30" s="816"/>
      <c r="K30" s="816"/>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6"/>
      <c r="AO30" s="816"/>
      <c r="AP30" s="816"/>
      <c r="AQ30" s="816"/>
      <c r="AR30" s="816"/>
      <c r="AS30" s="816"/>
      <c r="AT30" s="816"/>
      <c r="AU30" s="816"/>
      <c r="AV30" s="816"/>
      <c r="AW30" s="816"/>
      <c r="AX30" s="816"/>
      <c r="AY30" s="816"/>
      <c r="AZ30" s="816"/>
      <c r="BA30" s="816"/>
      <c r="BB30" s="816"/>
      <c r="BC30" s="816"/>
      <c r="BD30" s="816"/>
      <c r="BE30" s="816"/>
      <c r="BF30" s="816"/>
      <c r="BG30" s="816"/>
      <c r="BH30" s="816"/>
      <c r="BI30" s="816"/>
      <c r="BJ30" s="816"/>
      <c r="BK30" s="816"/>
      <c r="BL30" s="816"/>
      <c r="BM30" s="816"/>
      <c r="BN30" s="816"/>
      <c r="BO30" s="816"/>
      <c r="BP30" s="816"/>
      <c r="BQ30" s="816"/>
      <c r="BR30" s="816"/>
      <c r="BS30" s="816"/>
      <c r="BT30" s="816"/>
      <c r="BU30" s="816"/>
      <c r="BV30" s="816"/>
      <c r="BW30" s="816"/>
      <c r="BX30" s="816"/>
      <c r="BY30" s="816"/>
      <c r="BZ30" s="816"/>
      <c r="CA30" s="816"/>
      <c r="CB30" s="816"/>
      <c r="CC30" s="816"/>
      <c r="CD30" s="816"/>
      <c r="CE30" s="816"/>
      <c r="CF30" s="816"/>
      <c r="CG30" s="816"/>
      <c r="CH30" s="816"/>
      <c r="CI30" s="816"/>
      <c r="CJ30" s="816"/>
      <c r="CK30" s="816"/>
      <c r="CL30" s="816"/>
      <c r="CM30" s="816"/>
      <c r="CN30" s="816"/>
      <c r="CO30" s="816"/>
      <c r="CP30" s="816"/>
      <c r="CQ30" s="816"/>
      <c r="CR30" s="816"/>
      <c r="CS30" s="816"/>
      <c r="CT30" s="816"/>
      <c r="CU30" s="816"/>
      <c r="CV30" s="816"/>
      <c r="CW30" s="816"/>
      <c r="CX30" s="816"/>
      <c r="CY30" s="816"/>
      <c r="CZ30" s="816"/>
      <c r="DA30" s="816"/>
      <c r="DB30" s="816"/>
      <c r="DC30" s="816"/>
      <c r="DD30" s="816"/>
      <c r="DE30" s="816"/>
      <c r="DF30" s="816"/>
      <c r="DG30" s="816"/>
      <c r="DH30" s="816"/>
      <c r="DI30" s="816"/>
      <c r="DJ30" s="816"/>
      <c r="DK30" s="816"/>
      <c r="DL30" s="816"/>
      <c r="DM30" s="816"/>
      <c r="DN30" s="816"/>
      <c r="DO30" s="816"/>
      <c r="DP30" s="816"/>
      <c r="DQ30" s="816"/>
      <c r="DR30" s="816"/>
      <c r="DS30" s="816"/>
      <c r="DT30" s="816"/>
      <c r="DU30" s="816"/>
      <c r="DV30" s="816"/>
      <c r="DW30" s="816"/>
      <c r="DX30" s="816"/>
      <c r="DY30" s="816"/>
      <c r="DZ30" s="816"/>
      <c r="EA30" s="816"/>
      <c r="EB30" s="816"/>
      <c r="EC30" s="816"/>
      <c r="ED30" s="816"/>
      <c r="EE30" s="816"/>
      <c r="EF30" s="816"/>
      <c r="EG30" s="816"/>
      <c r="EH30" s="816"/>
      <c r="EI30" s="816"/>
      <c r="EJ30" s="816"/>
      <c r="EK30" s="816"/>
      <c r="EL30" s="816"/>
      <c r="EM30" s="816"/>
      <c r="EN30" s="816"/>
      <c r="EO30" s="816"/>
      <c r="EP30" s="816"/>
      <c r="EQ30" s="816"/>
      <c r="ER30" s="816"/>
      <c r="ES30" s="816"/>
      <c r="ET30" s="816"/>
      <c r="EU30" s="816"/>
      <c r="EV30" s="816"/>
      <c r="EW30" s="816"/>
      <c r="EX30" s="816"/>
      <c r="EY30" s="816"/>
      <c r="EZ30" s="816"/>
      <c r="FA30" s="816"/>
      <c r="FB30" s="816"/>
      <c r="FC30" s="816"/>
      <c r="FD30" s="816"/>
      <c r="FE30" s="816"/>
      <c r="FF30" s="816"/>
      <c r="FG30" s="816"/>
      <c r="FH30" s="816"/>
      <c r="FI30" s="816"/>
      <c r="FJ30" s="816"/>
      <c r="FK30" s="816"/>
      <c r="FL30" s="816"/>
      <c r="FM30" s="816"/>
      <c r="FN30" s="816"/>
      <c r="FO30" s="816"/>
      <c r="FP30" s="816"/>
      <c r="FQ30" s="816"/>
      <c r="FR30" s="816"/>
      <c r="FS30" s="816"/>
      <c r="FT30" s="816"/>
      <c r="FU30" s="816"/>
      <c r="FV30" s="816"/>
      <c r="FW30" s="816"/>
      <c r="FX30" s="816"/>
      <c r="FY30" s="816"/>
      <c r="FZ30" s="816"/>
      <c r="GA30" s="816"/>
      <c r="GB30" s="816"/>
      <c r="GC30" s="816"/>
      <c r="GD30" s="816"/>
      <c r="GE30" s="816"/>
      <c r="GF30" s="816"/>
      <c r="GG30" s="816"/>
      <c r="GH30" s="816"/>
      <c r="GI30" s="816"/>
      <c r="GJ30" s="816"/>
      <c r="GK30" s="816"/>
      <c r="GL30" s="816"/>
      <c r="GM30" s="816"/>
      <c r="GN30" s="816"/>
      <c r="GO30" s="816"/>
      <c r="GP30" s="816"/>
      <c r="GQ30" s="816"/>
      <c r="GR30" s="816"/>
      <c r="GS30" s="816"/>
      <c r="GT30" s="816"/>
      <c r="GU30" s="816"/>
      <c r="GV30" s="816"/>
      <c r="GW30" s="816"/>
      <c r="GX30" s="816"/>
      <c r="GY30" s="816"/>
      <c r="GZ30" s="816"/>
      <c r="HA30" s="816"/>
      <c r="HB30" s="816"/>
      <c r="HC30" s="816"/>
      <c r="HD30" s="816"/>
      <c r="HE30" s="816"/>
      <c r="HF30" s="816"/>
      <c r="HG30" s="816"/>
      <c r="HH30" s="816"/>
      <c r="HI30" s="816"/>
      <c r="HJ30" s="816"/>
      <c r="HK30" s="816"/>
      <c r="HL30" s="816"/>
      <c r="HM30" s="816"/>
      <c r="HN30" s="816"/>
      <c r="HO30" s="816"/>
      <c r="HP30" s="816"/>
      <c r="HQ30" s="816"/>
      <c r="HR30" s="816"/>
      <c r="HS30" s="816"/>
      <c r="HT30" s="816"/>
      <c r="HU30" s="816"/>
      <c r="HV30" s="816"/>
      <c r="HW30" s="816"/>
      <c r="HX30" s="816"/>
      <c r="HY30" s="816"/>
      <c r="HZ30" s="816"/>
      <c r="IA30" s="816"/>
      <c r="IB30" s="816"/>
      <c r="IC30" s="816"/>
      <c r="ID30" s="816"/>
      <c r="IE30" s="816"/>
      <c r="IF30" s="816"/>
      <c r="IG30" s="816"/>
      <c r="IH30" s="816"/>
      <c r="II30" s="816"/>
      <c r="IJ30" s="816"/>
      <c r="IK30" s="816"/>
      <c r="IL30" s="816"/>
      <c r="IM30" s="816"/>
      <c r="IN30" s="816"/>
      <c r="IO30" s="816"/>
      <c r="IP30" s="816"/>
      <c r="IQ30" s="816"/>
      <c r="IR30" s="816"/>
      <c r="IS30" s="816"/>
      <c r="IT30" s="816"/>
      <c r="IU30" s="816"/>
      <c r="IV30" s="816"/>
    </row>
    <row r="31" spans="1:256">
      <c r="A31" s="820"/>
      <c r="B31" s="817"/>
      <c r="C31" s="831"/>
      <c r="D31" s="831"/>
      <c r="E31" s="817"/>
      <c r="F31" s="817"/>
      <c r="G31" s="817"/>
      <c r="H31" s="831"/>
      <c r="I31" s="831"/>
      <c r="J31" s="816"/>
      <c r="K31" s="816"/>
      <c r="L31" s="816"/>
      <c r="M31" s="816"/>
      <c r="N31" s="816"/>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6"/>
      <c r="AM31" s="816"/>
      <c r="AN31" s="816"/>
      <c r="AO31" s="816"/>
      <c r="AP31" s="816"/>
      <c r="AQ31" s="816"/>
      <c r="AR31" s="816"/>
      <c r="AS31" s="816"/>
      <c r="AT31" s="816"/>
      <c r="AU31" s="816"/>
      <c r="AV31" s="816"/>
      <c r="AW31" s="816"/>
      <c r="AX31" s="816"/>
      <c r="AY31" s="816"/>
      <c r="AZ31" s="816"/>
      <c r="BA31" s="816"/>
      <c r="BB31" s="816"/>
      <c r="BC31" s="816"/>
      <c r="BD31" s="816"/>
      <c r="BE31" s="816"/>
      <c r="BF31" s="816"/>
      <c r="BG31" s="816"/>
      <c r="BH31" s="816"/>
      <c r="BI31" s="816"/>
      <c r="BJ31" s="816"/>
      <c r="BK31" s="816"/>
      <c r="BL31" s="816"/>
      <c r="BM31" s="816"/>
      <c r="BN31" s="816"/>
      <c r="BO31" s="816"/>
      <c r="BP31" s="816"/>
      <c r="BQ31" s="816"/>
      <c r="BR31" s="816"/>
      <c r="BS31" s="816"/>
      <c r="BT31" s="816"/>
      <c r="BU31" s="816"/>
      <c r="BV31" s="816"/>
      <c r="BW31" s="816"/>
      <c r="BX31" s="816"/>
      <c r="BY31" s="816"/>
      <c r="BZ31" s="816"/>
      <c r="CA31" s="816"/>
      <c r="CB31" s="816"/>
      <c r="CC31" s="816"/>
      <c r="CD31" s="816"/>
      <c r="CE31" s="816"/>
      <c r="CF31" s="816"/>
      <c r="CG31" s="816"/>
      <c r="CH31" s="816"/>
      <c r="CI31" s="816"/>
      <c r="CJ31" s="816"/>
      <c r="CK31" s="816"/>
      <c r="CL31" s="816"/>
      <c r="CM31" s="816"/>
      <c r="CN31" s="816"/>
      <c r="CO31" s="816"/>
      <c r="CP31" s="816"/>
      <c r="CQ31" s="816"/>
      <c r="CR31" s="816"/>
      <c r="CS31" s="816"/>
      <c r="CT31" s="816"/>
      <c r="CU31" s="816"/>
      <c r="CV31" s="816"/>
      <c r="CW31" s="816"/>
      <c r="CX31" s="816"/>
      <c r="CY31" s="816"/>
      <c r="CZ31" s="816"/>
      <c r="DA31" s="816"/>
      <c r="DB31" s="816"/>
      <c r="DC31" s="816"/>
      <c r="DD31" s="816"/>
      <c r="DE31" s="816"/>
      <c r="DF31" s="816"/>
      <c r="DG31" s="816"/>
      <c r="DH31" s="816"/>
      <c r="DI31" s="816"/>
      <c r="DJ31" s="816"/>
      <c r="DK31" s="816"/>
      <c r="DL31" s="816"/>
      <c r="DM31" s="816"/>
      <c r="DN31" s="816"/>
      <c r="DO31" s="816"/>
      <c r="DP31" s="816"/>
      <c r="DQ31" s="816"/>
      <c r="DR31" s="816"/>
      <c r="DS31" s="816"/>
      <c r="DT31" s="816"/>
      <c r="DU31" s="816"/>
      <c r="DV31" s="816"/>
      <c r="DW31" s="816"/>
      <c r="DX31" s="816"/>
      <c r="DY31" s="816"/>
      <c r="DZ31" s="816"/>
      <c r="EA31" s="816"/>
      <c r="EB31" s="816"/>
      <c r="EC31" s="816"/>
      <c r="ED31" s="816"/>
      <c r="EE31" s="816"/>
      <c r="EF31" s="816"/>
      <c r="EG31" s="816"/>
      <c r="EH31" s="816"/>
      <c r="EI31" s="816"/>
      <c r="EJ31" s="816"/>
      <c r="EK31" s="816"/>
      <c r="EL31" s="816"/>
      <c r="EM31" s="816"/>
      <c r="EN31" s="816"/>
      <c r="EO31" s="816"/>
      <c r="EP31" s="816"/>
      <c r="EQ31" s="816"/>
      <c r="ER31" s="816"/>
      <c r="ES31" s="816"/>
      <c r="ET31" s="816"/>
      <c r="EU31" s="816"/>
      <c r="EV31" s="816"/>
      <c r="EW31" s="816"/>
      <c r="EX31" s="816"/>
      <c r="EY31" s="816"/>
      <c r="EZ31" s="816"/>
      <c r="FA31" s="816"/>
      <c r="FB31" s="816"/>
      <c r="FC31" s="816"/>
      <c r="FD31" s="816"/>
      <c r="FE31" s="816"/>
      <c r="FF31" s="816"/>
      <c r="FG31" s="816"/>
      <c r="FH31" s="816"/>
      <c r="FI31" s="816"/>
      <c r="FJ31" s="816"/>
      <c r="FK31" s="816"/>
      <c r="FL31" s="816"/>
      <c r="FM31" s="816"/>
      <c r="FN31" s="816"/>
      <c r="FO31" s="816"/>
      <c r="FP31" s="816"/>
      <c r="FQ31" s="816"/>
      <c r="FR31" s="816"/>
      <c r="FS31" s="816"/>
      <c r="FT31" s="816"/>
      <c r="FU31" s="816"/>
      <c r="FV31" s="816"/>
      <c r="FW31" s="816"/>
      <c r="FX31" s="816"/>
      <c r="FY31" s="816"/>
      <c r="FZ31" s="816"/>
      <c r="GA31" s="816"/>
      <c r="GB31" s="816"/>
      <c r="GC31" s="816"/>
      <c r="GD31" s="816"/>
      <c r="GE31" s="816"/>
      <c r="GF31" s="816"/>
      <c r="GG31" s="816"/>
      <c r="GH31" s="816"/>
      <c r="GI31" s="816"/>
      <c r="GJ31" s="816"/>
      <c r="GK31" s="816"/>
      <c r="GL31" s="816"/>
      <c r="GM31" s="816"/>
      <c r="GN31" s="816"/>
      <c r="GO31" s="816"/>
      <c r="GP31" s="816"/>
      <c r="GQ31" s="816"/>
      <c r="GR31" s="816"/>
      <c r="GS31" s="816"/>
      <c r="GT31" s="816"/>
      <c r="GU31" s="816"/>
      <c r="GV31" s="816"/>
      <c r="GW31" s="816"/>
      <c r="GX31" s="816"/>
      <c r="GY31" s="816"/>
      <c r="GZ31" s="816"/>
      <c r="HA31" s="816"/>
      <c r="HB31" s="816"/>
      <c r="HC31" s="816"/>
      <c r="HD31" s="816"/>
      <c r="HE31" s="816"/>
      <c r="HF31" s="816"/>
      <c r="HG31" s="816"/>
      <c r="HH31" s="816"/>
      <c r="HI31" s="816"/>
      <c r="HJ31" s="816"/>
      <c r="HK31" s="816"/>
      <c r="HL31" s="816"/>
      <c r="HM31" s="816"/>
      <c r="HN31" s="816"/>
      <c r="HO31" s="816"/>
      <c r="HP31" s="816"/>
      <c r="HQ31" s="816"/>
      <c r="HR31" s="816"/>
      <c r="HS31" s="816"/>
      <c r="HT31" s="816"/>
      <c r="HU31" s="816"/>
      <c r="HV31" s="816"/>
      <c r="HW31" s="816"/>
      <c r="HX31" s="816"/>
      <c r="HY31" s="816"/>
      <c r="HZ31" s="816"/>
      <c r="IA31" s="816"/>
      <c r="IB31" s="816"/>
      <c r="IC31" s="816"/>
      <c r="ID31" s="816"/>
      <c r="IE31" s="816"/>
      <c r="IF31" s="816"/>
      <c r="IG31" s="816"/>
      <c r="IH31" s="816"/>
      <c r="II31" s="816"/>
      <c r="IJ31" s="816"/>
      <c r="IK31" s="816"/>
      <c r="IL31" s="816"/>
      <c r="IM31" s="816"/>
      <c r="IN31" s="816"/>
      <c r="IO31" s="816"/>
      <c r="IP31" s="816"/>
      <c r="IQ31" s="816"/>
      <c r="IR31" s="816"/>
      <c r="IS31" s="816"/>
      <c r="IT31" s="816"/>
      <c r="IU31" s="816"/>
      <c r="IV31" s="816"/>
    </row>
    <row r="32" spans="1:256">
      <c r="A32" s="820">
        <f>+A30+1</f>
        <v>18</v>
      </c>
      <c r="B32" s="817" t="s">
        <v>518</v>
      </c>
      <c r="C32" s="831"/>
      <c r="D32" s="829">
        <f>+D30</f>
        <v>0</v>
      </c>
      <c r="E32" s="817"/>
      <c r="F32" s="817"/>
      <c r="G32" s="817"/>
      <c r="H32" s="831"/>
      <c r="I32" s="829">
        <f>+I30</f>
        <v>0</v>
      </c>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16"/>
      <c r="AV32" s="816"/>
      <c r="AW32" s="816"/>
      <c r="AX32" s="816"/>
      <c r="AY32" s="816"/>
      <c r="AZ32" s="816"/>
      <c r="BA32" s="816"/>
      <c r="BB32" s="816"/>
      <c r="BC32" s="816"/>
      <c r="BD32" s="816"/>
      <c r="BE32" s="816"/>
      <c r="BF32" s="816"/>
      <c r="BG32" s="816"/>
      <c r="BH32" s="816"/>
      <c r="BI32" s="816"/>
      <c r="BJ32" s="816"/>
      <c r="BK32" s="816"/>
      <c r="BL32" s="816"/>
      <c r="BM32" s="816"/>
      <c r="BN32" s="816"/>
      <c r="BO32" s="816"/>
      <c r="BP32" s="816"/>
      <c r="BQ32" s="816"/>
      <c r="BR32" s="816"/>
      <c r="BS32" s="816"/>
      <c r="BT32" s="816"/>
      <c r="BU32" s="816"/>
      <c r="BV32" s="816"/>
      <c r="BW32" s="816"/>
      <c r="BX32" s="816"/>
      <c r="BY32" s="816"/>
      <c r="BZ32" s="816"/>
      <c r="CA32" s="816"/>
      <c r="CB32" s="816"/>
      <c r="CC32" s="816"/>
      <c r="CD32" s="816"/>
      <c r="CE32" s="816"/>
      <c r="CF32" s="816"/>
      <c r="CG32" s="816"/>
      <c r="CH32" s="816"/>
      <c r="CI32" s="816"/>
      <c r="CJ32" s="816"/>
      <c r="CK32" s="816"/>
      <c r="CL32" s="816"/>
      <c r="CM32" s="816"/>
      <c r="CN32" s="816"/>
      <c r="CO32" s="816"/>
      <c r="CP32" s="816"/>
      <c r="CQ32" s="816"/>
      <c r="CR32" s="816"/>
      <c r="CS32" s="816"/>
      <c r="CT32" s="816"/>
      <c r="CU32" s="816"/>
      <c r="CV32" s="816"/>
      <c r="CW32" s="816"/>
      <c r="CX32" s="816"/>
      <c r="CY32" s="816"/>
      <c r="CZ32" s="816"/>
      <c r="DA32" s="816"/>
      <c r="DB32" s="816"/>
      <c r="DC32" s="816"/>
      <c r="DD32" s="816"/>
      <c r="DE32" s="816"/>
      <c r="DF32" s="816"/>
      <c r="DG32" s="816"/>
      <c r="DH32" s="816"/>
      <c r="DI32" s="816"/>
      <c r="DJ32" s="816"/>
      <c r="DK32" s="816"/>
      <c r="DL32" s="816"/>
      <c r="DM32" s="816"/>
      <c r="DN32" s="816"/>
      <c r="DO32" s="816"/>
      <c r="DP32" s="816"/>
      <c r="DQ32" s="816"/>
      <c r="DR32" s="816"/>
      <c r="DS32" s="816"/>
      <c r="DT32" s="816"/>
      <c r="DU32" s="816"/>
      <c r="DV32" s="816"/>
      <c r="DW32" s="816"/>
      <c r="DX32" s="816"/>
      <c r="DY32" s="816"/>
      <c r="DZ32" s="816"/>
      <c r="EA32" s="816"/>
      <c r="EB32" s="816"/>
      <c r="EC32" s="816"/>
      <c r="ED32" s="816"/>
      <c r="EE32" s="816"/>
      <c r="EF32" s="816"/>
      <c r="EG32" s="816"/>
      <c r="EH32" s="816"/>
      <c r="EI32" s="816"/>
      <c r="EJ32" s="816"/>
      <c r="EK32" s="816"/>
      <c r="EL32" s="816"/>
      <c r="EM32" s="816"/>
      <c r="EN32" s="816"/>
      <c r="EO32" s="816"/>
      <c r="EP32" s="816"/>
      <c r="EQ32" s="816"/>
      <c r="ER32" s="816"/>
      <c r="ES32" s="816"/>
      <c r="ET32" s="816"/>
      <c r="EU32" s="816"/>
      <c r="EV32" s="816"/>
      <c r="EW32" s="816"/>
      <c r="EX32" s="816"/>
      <c r="EY32" s="816"/>
      <c r="EZ32" s="816"/>
      <c r="FA32" s="816"/>
      <c r="FB32" s="816"/>
      <c r="FC32" s="816"/>
      <c r="FD32" s="816"/>
      <c r="FE32" s="816"/>
      <c r="FF32" s="816"/>
      <c r="FG32" s="816"/>
      <c r="FH32" s="816"/>
      <c r="FI32" s="816"/>
      <c r="FJ32" s="816"/>
      <c r="FK32" s="816"/>
      <c r="FL32" s="816"/>
      <c r="FM32" s="816"/>
      <c r="FN32" s="816"/>
      <c r="FO32" s="816"/>
      <c r="FP32" s="816"/>
      <c r="FQ32" s="816"/>
      <c r="FR32" s="816"/>
      <c r="FS32" s="816"/>
      <c r="FT32" s="816"/>
      <c r="FU32" s="816"/>
      <c r="FV32" s="816"/>
      <c r="FW32" s="816"/>
      <c r="FX32" s="816"/>
      <c r="FY32" s="816"/>
      <c r="FZ32" s="816"/>
      <c r="GA32" s="816"/>
      <c r="GB32" s="816"/>
      <c r="GC32" s="816"/>
      <c r="GD32" s="816"/>
      <c r="GE32" s="816"/>
      <c r="GF32" s="816"/>
      <c r="GG32" s="816"/>
      <c r="GH32" s="816"/>
      <c r="GI32" s="816"/>
      <c r="GJ32" s="816"/>
      <c r="GK32" s="816"/>
      <c r="GL32" s="816"/>
      <c r="GM32" s="816"/>
      <c r="GN32" s="816"/>
      <c r="GO32" s="816"/>
      <c r="GP32" s="816"/>
      <c r="GQ32" s="816"/>
      <c r="GR32" s="816"/>
      <c r="GS32" s="816"/>
      <c r="GT32" s="816"/>
      <c r="GU32" s="816"/>
      <c r="GV32" s="816"/>
      <c r="GW32" s="816"/>
      <c r="GX32" s="816"/>
      <c r="GY32" s="816"/>
      <c r="GZ32" s="816"/>
      <c r="HA32" s="816"/>
      <c r="HB32" s="816"/>
      <c r="HC32" s="816"/>
      <c r="HD32" s="816"/>
      <c r="HE32" s="816"/>
      <c r="HF32" s="816"/>
      <c r="HG32" s="816"/>
      <c r="HH32" s="816"/>
      <c r="HI32" s="816"/>
      <c r="HJ32" s="816"/>
      <c r="HK32" s="816"/>
      <c r="HL32" s="816"/>
      <c r="HM32" s="816"/>
      <c r="HN32" s="816"/>
      <c r="HO32" s="816"/>
      <c r="HP32" s="816"/>
      <c r="HQ32" s="816"/>
      <c r="HR32" s="816"/>
      <c r="HS32" s="816"/>
      <c r="HT32" s="816"/>
      <c r="HU32" s="816"/>
      <c r="HV32" s="816"/>
      <c r="HW32" s="816"/>
      <c r="HX32" s="816"/>
      <c r="HY32" s="816"/>
      <c r="HZ32" s="816"/>
      <c r="IA32" s="816"/>
      <c r="IB32" s="816"/>
      <c r="IC32" s="816"/>
      <c r="ID32" s="816"/>
      <c r="IE32" s="816"/>
      <c r="IF32" s="816"/>
      <c r="IG32" s="816"/>
      <c r="IH32" s="816"/>
      <c r="II32" s="816"/>
      <c r="IJ32" s="816"/>
      <c r="IK32" s="816"/>
      <c r="IL32" s="816"/>
      <c r="IM32" s="816"/>
      <c r="IN32" s="816"/>
      <c r="IO32" s="816"/>
      <c r="IP32" s="816"/>
      <c r="IQ32" s="816"/>
      <c r="IR32" s="816"/>
      <c r="IS32" s="816"/>
      <c r="IT32" s="816"/>
      <c r="IU32" s="816"/>
      <c r="IV32" s="816"/>
    </row>
    <row r="33" spans="1:256">
      <c r="A33" s="820"/>
      <c r="B33" s="832"/>
      <c r="C33" s="832"/>
      <c r="D33" s="832"/>
      <c r="E33" s="832"/>
      <c r="F33" s="832"/>
      <c r="G33" s="832"/>
      <c r="H33" s="832"/>
      <c r="I33" s="832"/>
      <c r="J33" s="816"/>
      <c r="K33" s="816"/>
      <c r="L33" s="816"/>
      <c r="M33" s="816"/>
      <c r="N33" s="816"/>
      <c r="O33" s="816"/>
      <c r="P33" s="816"/>
      <c r="Q33" s="816"/>
      <c r="R33" s="816"/>
      <c r="S33" s="816"/>
      <c r="T33" s="816"/>
      <c r="U33" s="816"/>
      <c r="V33" s="816"/>
      <c r="W33" s="816"/>
      <c r="X33" s="816"/>
      <c r="Y33" s="816"/>
      <c r="Z33" s="816"/>
      <c r="AA33" s="816"/>
      <c r="AB33" s="816"/>
      <c r="AC33" s="816"/>
      <c r="AD33" s="816"/>
      <c r="AE33" s="816"/>
      <c r="AF33" s="816"/>
      <c r="AG33" s="816"/>
      <c r="AH33" s="816"/>
      <c r="AI33" s="816"/>
      <c r="AJ33" s="816"/>
      <c r="AK33" s="816"/>
      <c r="AL33" s="816"/>
      <c r="AM33" s="816"/>
      <c r="AN33" s="816"/>
      <c r="AO33" s="816"/>
      <c r="AP33" s="816"/>
      <c r="AQ33" s="816"/>
      <c r="AR33" s="816"/>
      <c r="AS33" s="816"/>
      <c r="AT33" s="816"/>
      <c r="AU33" s="816"/>
      <c r="AV33" s="816"/>
      <c r="AW33" s="816"/>
      <c r="AX33" s="816"/>
      <c r="AY33" s="816"/>
      <c r="AZ33" s="816"/>
      <c r="BA33" s="816"/>
      <c r="BB33" s="816"/>
      <c r="BC33" s="816"/>
      <c r="BD33" s="816"/>
      <c r="BE33" s="816"/>
      <c r="BF33" s="816"/>
      <c r="BG33" s="816"/>
      <c r="BH33" s="816"/>
      <c r="BI33" s="816"/>
      <c r="BJ33" s="816"/>
      <c r="BK33" s="816"/>
      <c r="BL33" s="816"/>
      <c r="BM33" s="816"/>
      <c r="BN33" s="816"/>
      <c r="BO33" s="816"/>
      <c r="BP33" s="816"/>
      <c r="BQ33" s="816"/>
      <c r="BR33" s="816"/>
      <c r="BS33" s="816"/>
      <c r="BT33" s="816"/>
      <c r="BU33" s="816"/>
      <c r="BV33" s="816"/>
      <c r="BW33" s="816"/>
      <c r="BX33" s="816"/>
      <c r="BY33" s="816"/>
      <c r="BZ33" s="816"/>
      <c r="CA33" s="816"/>
      <c r="CB33" s="816"/>
      <c r="CC33" s="816"/>
      <c r="CD33" s="816"/>
      <c r="CE33" s="816"/>
      <c r="CF33" s="816"/>
      <c r="CG33" s="816"/>
      <c r="CH33" s="816"/>
      <c r="CI33" s="816"/>
      <c r="CJ33" s="816"/>
      <c r="CK33" s="816"/>
      <c r="CL33" s="816"/>
      <c r="CM33" s="816"/>
      <c r="CN33" s="816"/>
      <c r="CO33" s="816"/>
      <c r="CP33" s="816"/>
      <c r="CQ33" s="816"/>
      <c r="CR33" s="816"/>
      <c r="CS33" s="816"/>
      <c r="CT33" s="816"/>
      <c r="CU33" s="816"/>
      <c r="CV33" s="816"/>
      <c r="CW33" s="816"/>
      <c r="CX33" s="816"/>
      <c r="CY33" s="816"/>
      <c r="CZ33" s="816"/>
      <c r="DA33" s="816"/>
      <c r="DB33" s="816"/>
      <c r="DC33" s="816"/>
      <c r="DD33" s="816"/>
      <c r="DE33" s="816"/>
      <c r="DF33" s="816"/>
      <c r="DG33" s="816"/>
      <c r="DH33" s="816"/>
      <c r="DI33" s="816"/>
      <c r="DJ33" s="816"/>
      <c r="DK33" s="816"/>
      <c r="DL33" s="816"/>
      <c r="DM33" s="816"/>
      <c r="DN33" s="816"/>
      <c r="DO33" s="816"/>
      <c r="DP33" s="816"/>
      <c r="DQ33" s="816"/>
      <c r="DR33" s="816"/>
      <c r="DS33" s="816"/>
      <c r="DT33" s="816"/>
      <c r="DU33" s="816"/>
      <c r="DV33" s="816"/>
      <c r="DW33" s="816"/>
      <c r="DX33" s="816"/>
      <c r="DY33" s="816"/>
      <c r="DZ33" s="816"/>
      <c r="EA33" s="816"/>
      <c r="EB33" s="816"/>
      <c r="EC33" s="816"/>
      <c r="ED33" s="816"/>
      <c r="EE33" s="816"/>
      <c r="EF33" s="816"/>
      <c r="EG33" s="816"/>
      <c r="EH33" s="816"/>
      <c r="EI33" s="816"/>
      <c r="EJ33" s="816"/>
      <c r="EK33" s="816"/>
      <c r="EL33" s="816"/>
      <c r="EM33" s="816"/>
      <c r="EN33" s="816"/>
      <c r="EO33" s="816"/>
      <c r="EP33" s="816"/>
      <c r="EQ33" s="816"/>
      <c r="ER33" s="816"/>
      <c r="ES33" s="816"/>
      <c r="ET33" s="816"/>
      <c r="EU33" s="816"/>
      <c r="EV33" s="816"/>
      <c r="EW33" s="816"/>
      <c r="EX33" s="816"/>
      <c r="EY33" s="816"/>
      <c r="EZ33" s="816"/>
      <c r="FA33" s="816"/>
      <c r="FB33" s="816"/>
      <c r="FC33" s="816"/>
      <c r="FD33" s="816"/>
      <c r="FE33" s="816"/>
      <c r="FF33" s="816"/>
      <c r="FG33" s="816"/>
      <c r="FH33" s="816"/>
      <c r="FI33" s="816"/>
      <c r="FJ33" s="816"/>
      <c r="FK33" s="816"/>
      <c r="FL33" s="816"/>
      <c r="FM33" s="816"/>
      <c r="FN33" s="816"/>
      <c r="FO33" s="816"/>
      <c r="FP33" s="816"/>
      <c r="FQ33" s="816"/>
      <c r="FR33" s="816"/>
      <c r="FS33" s="816"/>
      <c r="FT33" s="816"/>
      <c r="FU33" s="816"/>
      <c r="FV33" s="816"/>
      <c r="FW33" s="816"/>
      <c r="FX33" s="816"/>
      <c r="FY33" s="816"/>
      <c r="FZ33" s="816"/>
      <c r="GA33" s="816"/>
      <c r="GB33" s="816"/>
      <c r="GC33" s="816"/>
      <c r="GD33" s="816"/>
      <c r="GE33" s="816"/>
      <c r="GF33" s="816"/>
      <c r="GG33" s="816"/>
      <c r="GH33" s="816"/>
      <c r="GI33" s="816"/>
      <c r="GJ33" s="816"/>
      <c r="GK33" s="816"/>
      <c r="GL33" s="816"/>
      <c r="GM33" s="816"/>
      <c r="GN33" s="816"/>
      <c r="GO33" s="816"/>
      <c r="GP33" s="816"/>
      <c r="GQ33" s="816"/>
      <c r="GR33" s="816"/>
      <c r="GS33" s="816"/>
      <c r="GT33" s="816"/>
      <c r="GU33" s="816"/>
      <c r="GV33" s="816"/>
      <c r="GW33" s="816"/>
      <c r="GX33" s="816"/>
      <c r="GY33" s="816"/>
      <c r="GZ33" s="816"/>
      <c r="HA33" s="816"/>
      <c r="HB33" s="816"/>
      <c r="HC33" s="816"/>
      <c r="HD33" s="816"/>
      <c r="HE33" s="816"/>
      <c r="HF33" s="816"/>
      <c r="HG33" s="816"/>
      <c r="HH33" s="816"/>
      <c r="HI33" s="816"/>
      <c r="HJ33" s="816"/>
      <c r="HK33" s="816"/>
      <c r="HL33" s="816"/>
      <c r="HM33" s="816"/>
      <c r="HN33" s="816"/>
      <c r="HO33" s="816"/>
      <c r="HP33" s="816"/>
      <c r="HQ33" s="816"/>
      <c r="HR33" s="816"/>
      <c r="HS33" s="816"/>
      <c r="HT33" s="816"/>
      <c r="HU33" s="816"/>
      <c r="HV33" s="816"/>
      <c r="HW33" s="816"/>
      <c r="HX33" s="816"/>
      <c r="HY33" s="816"/>
      <c r="HZ33" s="816"/>
      <c r="IA33" s="816"/>
      <c r="IB33" s="816"/>
      <c r="IC33" s="816"/>
      <c r="ID33" s="816"/>
      <c r="IE33" s="816"/>
      <c r="IF33" s="816"/>
      <c r="IG33" s="816"/>
      <c r="IH33" s="816"/>
      <c r="II33" s="816"/>
      <c r="IJ33" s="816"/>
      <c r="IK33" s="816"/>
      <c r="IL33" s="816"/>
      <c r="IM33" s="816"/>
      <c r="IN33" s="816"/>
      <c r="IO33" s="816"/>
      <c r="IP33" s="816"/>
      <c r="IQ33" s="816"/>
      <c r="IR33" s="816"/>
      <c r="IS33" s="816"/>
      <c r="IT33" s="816"/>
      <c r="IU33" s="816"/>
      <c r="IV33" s="816"/>
    </row>
    <row r="34" spans="1:256" ht="13" thickBot="1">
      <c r="A34" s="820">
        <f>+A32+1</f>
        <v>19</v>
      </c>
      <c r="B34" s="833" t="str">
        <f>"Proration Adjustment - Line "&amp;A32&amp;" Col. "&amp;I16&amp;" less Col. "&amp;D16</f>
        <v>Proration Adjustment - Line 18 Col. (H) less Col. (C )</v>
      </c>
      <c r="C34" s="833"/>
      <c r="D34" s="833"/>
      <c r="E34" s="833"/>
      <c r="F34" s="833"/>
      <c r="G34" s="833"/>
      <c r="H34" s="833"/>
      <c r="I34" s="834">
        <f>+I32-D32</f>
        <v>0</v>
      </c>
      <c r="J34" s="816"/>
      <c r="K34" s="816"/>
      <c r="L34" s="816"/>
      <c r="M34" s="816"/>
      <c r="N34" s="816"/>
      <c r="O34" s="816"/>
      <c r="P34" s="816"/>
      <c r="Q34" s="816"/>
      <c r="R34" s="816"/>
      <c r="S34" s="816"/>
      <c r="T34" s="816"/>
      <c r="U34" s="816"/>
      <c r="V34" s="816"/>
      <c r="W34" s="816"/>
      <c r="X34" s="816"/>
      <c r="Y34" s="816"/>
      <c r="Z34" s="816"/>
      <c r="AA34" s="816"/>
      <c r="AB34" s="816"/>
      <c r="AC34" s="816"/>
      <c r="AD34" s="816"/>
      <c r="AE34" s="816"/>
      <c r="AF34" s="816"/>
      <c r="AG34" s="816"/>
      <c r="AH34" s="816"/>
      <c r="AI34" s="816"/>
      <c r="AJ34" s="816"/>
      <c r="AK34" s="816"/>
      <c r="AL34" s="816"/>
      <c r="AM34" s="816"/>
      <c r="AN34" s="816"/>
      <c r="AO34" s="816"/>
      <c r="AP34" s="816"/>
      <c r="AQ34" s="816"/>
      <c r="AR34" s="816"/>
      <c r="AS34" s="816"/>
      <c r="AT34" s="816"/>
      <c r="AU34" s="816"/>
      <c r="AV34" s="816"/>
      <c r="AW34" s="816"/>
      <c r="AX34" s="816"/>
      <c r="AY34" s="816"/>
      <c r="AZ34" s="816"/>
      <c r="BA34" s="816"/>
      <c r="BB34" s="816"/>
      <c r="BC34" s="816"/>
      <c r="BD34" s="816"/>
      <c r="BE34" s="816"/>
      <c r="BF34" s="816"/>
      <c r="BG34" s="816"/>
      <c r="BH34" s="816"/>
      <c r="BI34" s="816"/>
      <c r="BJ34" s="816"/>
      <c r="BK34" s="816"/>
      <c r="BL34" s="816"/>
      <c r="BM34" s="816"/>
      <c r="BN34" s="816"/>
      <c r="BO34" s="816"/>
      <c r="BP34" s="816"/>
      <c r="BQ34" s="816"/>
      <c r="BR34" s="816"/>
      <c r="BS34" s="816"/>
      <c r="BT34" s="816"/>
      <c r="BU34" s="816"/>
      <c r="BV34" s="816"/>
      <c r="BW34" s="816"/>
      <c r="BX34" s="816"/>
      <c r="BY34" s="816"/>
      <c r="BZ34" s="816"/>
      <c r="CA34" s="816"/>
      <c r="CB34" s="816"/>
      <c r="CC34" s="816"/>
      <c r="CD34" s="816"/>
      <c r="CE34" s="816"/>
      <c r="CF34" s="816"/>
      <c r="CG34" s="816"/>
      <c r="CH34" s="816"/>
      <c r="CI34" s="816"/>
      <c r="CJ34" s="816"/>
      <c r="CK34" s="816"/>
      <c r="CL34" s="816"/>
      <c r="CM34" s="816"/>
      <c r="CN34" s="816"/>
      <c r="CO34" s="816"/>
      <c r="CP34" s="816"/>
      <c r="CQ34" s="816"/>
      <c r="CR34" s="816"/>
      <c r="CS34" s="816"/>
      <c r="CT34" s="816"/>
      <c r="CU34" s="816"/>
      <c r="CV34" s="816"/>
      <c r="CW34" s="816"/>
      <c r="CX34" s="816"/>
      <c r="CY34" s="816"/>
      <c r="CZ34" s="816"/>
      <c r="DA34" s="816"/>
      <c r="DB34" s="816"/>
      <c r="DC34" s="816"/>
      <c r="DD34" s="816"/>
      <c r="DE34" s="816"/>
      <c r="DF34" s="816"/>
      <c r="DG34" s="816"/>
      <c r="DH34" s="816"/>
      <c r="DI34" s="816"/>
      <c r="DJ34" s="816"/>
      <c r="DK34" s="816"/>
      <c r="DL34" s="816"/>
      <c r="DM34" s="816"/>
      <c r="DN34" s="816"/>
      <c r="DO34" s="816"/>
      <c r="DP34" s="816"/>
      <c r="DQ34" s="816"/>
      <c r="DR34" s="816"/>
      <c r="DS34" s="816"/>
      <c r="DT34" s="816"/>
      <c r="DU34" s="816"/>
      <c r="DV34" s="816"/>
      <c r="DW34" s="816"/>
      <c r="DX34" s="816"/>
      <c r="DY34" s="816"/>
      <c r="DZ34" s="816"/>
      <c r="EA34" s="816"/>
      <c r="EB34" s="816"/>
      <c r="EC34" s="816"/>
      <c r="ED34" s="816"/>
      <c r="EE34" s="816"/>
      <c r="EF34" s="816"/>
      <c r="EG34" s="816"/>
      <c r="EH34" s="816"/>
      <c r="EI34" s="816"/>
      <c r="EJ34" s="816"/>
      <c r="EK34" s="816"/>
      <c r="EL34" s="816"/>
      <c r="EM34" s="816"/>
      <c r="EN34" s="816"/>
      <c r="EO34" s="816"/>
      <c r="EP34" s="816"/>
      <c r="EQ34" s="816"/>
      <c r="ER34" s="816"/>
      <c r="ES34" s="816"/>
      <c r="ET34" s="816"/>
      <c r="EU34" s="816"/>
      <c r="EV34" s="816"/>
      <c r="EW34" s="816"/>
      <c r="EX34" s="816"/>
      <c r="EY34" s="816"/>
      <c r="EZ34" s="816"/>
      <c r="FA34" s="816"/>
      <c r="FB34" s="816"/>
      <c r="FC34" s="816"/>
      <c r="FD34" s="816"/>
      <c r="FE34" s="816"/>
      <c r="FF34" s="816"/>
      <c r="FG34" s="816"/>
      <c r="FH34" s="816"/>
      <c r="FI34" s="816"/>
      <c r="FJ34" s="816"/>
      <c r="FK34" s="816"/>
      <c r="FL34" s="816"/>
      <c r="FM34" s="816"/>
      <c r="FN34" s="816"/>
      <c r="FO34" s="816"/>
      <c r="FP34" s="816"/>
      <c r="FQ34" s="816"/>
      <c r="FR34" s="816"/>
      <c r="FS34" s="816"/>
      <c r="FT34" s="816"/>
      <c r="FU34" s="816"/>
      <c r="FV34" s="816"/>
      <c r="FW34" s="816"/>
      <c r="FX34" s="816"/>
      <c r="FY34" s="816"/>
      <c r="FZ34" s="816"/>
      <c r="GA34" s="816"/>
      <c r="GB34" s="816"/>
      <c r="GC34" s="816"/>
      <c r="GD34" s="816"/>
      <c r="GE34" s="816"/>
      <c r="GF34" s="816"/>
      <c r="GG34" s="816"/>
      <c r="GH34" s="816"/>
      <c r="GI34" s="816"/>
      <c r="GJ34" s="816"/>
      <c r="GK34" s="816"/>
      <c r="GL34" s="816"/>
      <c r="GM34" s="816"/>
      <c r="GN34" s="816"/>
      <c r="GO34" s="816"/>
      <c r="GP34" s="816"/>
      <c r="GQ34" s="816"/>
      <c r="GR34" s="816"/>
      <c r="GS34" s="816"/>
      <c r="GT34" s="816"/>
      <c r="GU34" s="816"/>
      <c r="GV34" s="816"/>
      <c r="GW34" s="816"/>
      <c r="GX34" s="816"/>
      <c r="GY34" s="816"/>
      <c r="GZ34" s="816"/>
      <c r="HA34" s="816"/>
      <c r="HB34" s="816"/>
      <c r="HC34" s="816"/>
      <c r="HD34" s="816"/>
      <c r="HE34" s="816"/>
      <c r="HF34" s="816"/>
      <c r="HG34" s="816"/>
      <c r="HH34" s="816"/>
      <c r="HI34" s="816"/>
      <c r="HJ34" s="816"/>
      <c r="HK34" s="816"/>
      <c r="HL34" s="816"/>
      <c r="HM34" s="816"/>
      <c r="HN34" s="816"/>
      <c r="HO34" s="816"/>
      <c r="HP34" s="816"/>
      <c r="HQ34" s="816"/>
      <c r="HR34" s="816"/>
      <c r="HS34" s="816"/>
      <c r="HT34" s="816"/>
      <c r="HU34" s="816"/>
      <c r="HV34" s="816"/>
      <c r="HW34" s="816"/>
      <c r="HX34" s="816"/>
      <c r="HY34" s="816"/>
      <c r="HZ34" s="816"/>
      <c r="IA34" s="816"/>
      <c r="IB34" s="816"/>
      <c r="IC34" s="816"/>
      <c r="ID34" s="816"/>
      <c r="IE34" s="816"/>
      <c r="IF34" s="816"/>
      <c r="IG34" s="816"/>
      <c r="IH34" s="816"/>
      <c r="II34" s="816"/>
      <c r="IJ34" s="816"/>
      <c r="IK34" s="816"/>
      <c r="IL34" s="816"/>
      <c r="IM34" s="816"/>
      <c r="IN34" s="816"/>
      <c r="IO34" s="816"/>
      <c r="IP34" s="816"/>
      <c r="IQ34" s="816"/>
      <c r="IR34" s="816"/>
      <c r="IS34" s="816"/>
      <c r="IT34" s="816"/>
      <c r="IU34" s="816"/>
      <c r="IV34" s="816"/>
    </row>
    <row r="35" spans="1:256" ht="13" thickTop="1">
      <c r="A35" s="816"/>
      <c r="B35" s="832"/>
      <c r="C35" s="832"/>
      <c r="D35" s="832"/>
      <c r="E35" s="832"/>
      <c r="F35" s="832"/>
      <c r="G35" s="832"/>
      <c r="H35" s="832"/>
      <c r="I35" s="832"/>
      <c r="J35" s="816"/>
      <c r="K35" s="816"/>
      <c r="L35" s="816"/>
      <c r="M35" s="816"/>
      <c r="N35" s="816"/>
      <c r="O35" s="816"/>
      <c r="P35" s="816"/>
      <c r="Q35" s="816"/>
      <c r="R35" s="816"/>
      <c r="S35" s="816"/>
      <c r="T35" s="816"/>
      <c r="U35" s="816"/>
      <c r="V35" s="816"/>
      <c r="W35" s="816"/>
      <c r="X35" s="816"/>
      <c r="Y35" s="816"/>
      <c r="Z35" s="816"/>
      <c r="AA35" s="816"/>
      <c r="AB35" s="816"/>
      <c r="AC35" s="816"/>
      <c r="AD35" s="816"/>
      <c r="AE35" s="816"/>
      <c r="AF35" s="816"/>
      <c r="AG35" s="816"/>
      <c r="AH35" s="816"/>
      <c r="AI35" s="816"/>
      <c r="AJ35" s="816"/>
      <c r="AK35" s="816"/>
      <c r="AL35" s="816"/>
      <c r="AM35" s="816"/>
      <c r="AN35" s="816"/>
      <c r="AO35" s="816"/>
      <c r="AP35" s="816"/>
      <c r="AQ35" s="816"/>
      <c r="AR35" s="816"/>
      <c r="AS35" s="816"/>
      <c r="AT35" s="816"/>
      <c r="AU35" s="816"/>
      <c r="AV35" s="816"/>
      <c r="AW35" s="816"/>
      <c r="AX35" s="816"/>
      <c r="AY35" s="816"/>
      <c r="AZ35" s="816"/>
      <c r="BA35" s="816"/>
      <c r="BB35" s="816"/>
      <c r="BC35" s="816"/>
      <c r="BD35" s="816"/>
      <c r="BE35" s="816"/>
      <c r="BF35" s="816"/>
      <c r="BG35" s="816"/>
      <c r="BH35" s="816"/>
      <c r="BI35" s="816"/>
      <c r="BJ35" s="816"/>
      <c r="BK35" s="816"/>
      <c r="BL35" s="816"/>
      <c r="BM35" s="816"/>
      <c r="BN35" s="816"/>
      <c r="BO35" s="816"/>
      <c r="BP35" s="816"/>
      <c r="BQ35" s="816"/>
      <c r="BR35" s="816"/>
      <c r="BS35" s="816"/>
      <c r="BT35" s="816"/>
      <c r="BU35" s="816"/>
      <c r="BV35" s="816"/>
      <c r="BW35" s="816"/>
      <c r="BX35" s="816"/>
      <c r="BY35" s="816"/>
      <c r="BZ35" s="816"/>
      <c r="CA35" s="816"/>
      <c r="CB35" s="816"/>
      <c r="CC35" s="816"/>
      <c r="CD35" s="816"/>
      <c r="CE35" s="816"/>
      <c r="CF35" s="816"/>
      <c r="CG35" s="816"/>
      <c r="CH35" s="816"/>
      <c r="CI35" s="816"/>
      <c r="CJ35" s="816"/>
      <c r="CK35" s="816"/>
      <c r="CL35" s="816"/>
      <c r="CM35" s="816"/>
      <c r="CN35" s="816"/>
      <c r="CO35" s="816"/>
      <c r="CP35" s="816"/>
      <c r="CQ35" s="816"/>
      <c r="CR35" s="816"/>
      <c r="CS35" s="816"/>
      <c r="CT35" s="816"/>
      <c r="CU35" s="816"/>
      <c r="CV35" s="816"/>
      <c r="CW35" s="816"/>
      <c r="CX35" s="816"/>
      <c r="CY35" s="816"/>
      <c r="CZ35" s="816"/>
      <c r="DA35" s="816"/>
      <c r="DB35" s="816"/>
      <c r="DC35" s="816"/>
      <c r="DD35" s="816"/>
      <c r="DE35" s="816"/>
      <c r="DF35" s="816"/>
      <c r="DG35" s="816"/>
      <c r="DH35" s="816"/>
      <c r="DI35" s="816"/>
      <c r="DJ35" s="816"/>
      <c r="DK35" s="816"/>
      <c r="DL35" s="816"/>
      <c r="DM35" s="816"/>
      <c r="DN35" s="816"/>
      <c r="DO35" s="816"/>
      <c r="DP35" s="816"/>
      <c r="DQ35" s="816"/>
      <c r="DR35" s="816"/>
      <c r="DS35" s="816"/>
      <c r="DT35" s="816"/>
      <c r="DU35" s="816"/>
      <c r="DV35" s="816"/>
      <c r="DW35" s="816"/>
      <c r="DX35" s="816"/>
      <c r="DY35" s="816"/>
      <c r="DZ35" s="816"/>
      <c r="EA35" s="816"/>
      <c r="EB35" s="816"/>
      <c r="EC35" s="816"/>
      <c r="ED35" s="816"/>
      <c r="EE35" s="816"/>
      <c r="EF35" s="816"/>
      <c r="EG35" s="816"/>
      <c r="EH35" s="816"/>
      <c r="EI35" s="816"/>
      <c r="EJ35" s="816"/>
      <c r="EK35" s="816"/>
      <c r="EL35" s="816"/>
      <c r="EM35" s="816"/>
      <c r="EN35" s="816"/>
      <c r="EO35" s="816"/>
      <c r="EP35" s="816"/>
      <c r="EQ35" s="816"/>
      <c r="ER35" s="816"/>
      <c r="ES35" s="816"/>
      <c r="ET35" s="816"/>
      <c r="EU35" s="816"/>
      <c r="EV35" s="816"/>
      <c r="EW35" s="816"/>
      <c r="EX35" s="816"/>
      <c r="EY35" s="816"/>
      <c r="EZ35" s="816"/>
      <c r="FA35" s="816"/>
      <c r="FB35" s="816"/>
      <c r="FC35" s="816"/>
      <c r="FD35" s="816"/>
      <c r="FE35" s="816"/>
      <c r="FF35" s="816"/>
      <c r="FG35" s="816"/>
      <c r="FH35" s="816"/>
      <c r="FI35" s="816"/>
      <c r="FJ35" s="816"/>
      <c r="FK35" s="816"/>
      <c r="FL35" s="816"/>
      <c r="FM35" s="816"/>
      <c r="FN35" s="816"/>
      <c r="FO35" s="816"/>
      <c r="FP35" s="816"/>
      <c r="FQ35" s="816"/>
      <c r="FR35" s="816"/>
      <c r="FS35" s="816"/>
      <c r="FT35" s="816"/>
      <c r="FU35" s="816"/>
      <c r="FV35" s="816"/>
      <c r="FW35" s="816"/>
      <c r="FX35" s="816"/>
      <c r="FY35" s="816"/>
      <c r="FZ35" s="816"/>
      <c r="GA35" s="816"/>
      <c r="GB35" s="816"/>
      <c r="GC35" s="816"/>
      <c r="GD35" s="816"/>
      <c r="GE35" s="816"/>
      <c r="GF35" s="816"/>
      <c r="GG35" s="816"/>
      <c r="GH35" s="816"/>
      <c r="GI35" s="816"/>
      <c r="GJ35" s="816"/>
      <c r="GK35" s="816"/>
      <c r="GL35" s="816"/>
      <c r="GM35" s="816"/>
      <c r="GN35" s="816"/>
      <c r="GO35" s="816"/>
      <c r="GP35" s="816"/>
      <c r="GQ35" s="816"/>
      <c r="GR35" s="816"/>
      <c r="GS35" s="816"/>
      <c r="GT35" s="816"/>
      <c r="GU35" s="816"/>
      <c r="GV35" s="816"/>
      <c r="GW35" s="816"/>
      <c r="GX35" s="816"/>
      <c r="GY35" s="816"/>
      <c r="GZ35" s="816"/>
      <c r="HA35" s="816"/>
      <c r="HB35" s="816"/>
      <c r="HC35" s="816"/>
      <c r="HD35" s="816"/>
      <c r="HE35" s="816"/>
      <c r="HF35" s="816"/>
      <c r="HG35" s="816"/>
      <c r="HH35" s="816"/>
      <c r="HI35" s="816"/>
      <c r="HJ35" s="816"/>
      <c r="HK35" s="816"/>
      <c r="HL35" s="816"/>
      <c r="HM35" s="816"/>
      <c r="HN35" s="816"/>
      <c r="HO35" s="816"/>
      <c r="HP35" s="816"/>
      <c r="HQ35" s="816"/>
      <c r="HR35" s="816"/>
      <c r="HS35" s="816"/>
      <c r="HT35" s="816"/>
      <c r="HU35" s="816"/>
      <c r="HV35" s="816"/>
      <c r="HW35" s="816"/>
      <c r="HX35" s="816"/>
      <c r="HY35" s="816"/>
      <c r="HZ35" s="816"/>
      <c r="IA35" s="816"/>
      <c r="IB35" s="816"/>
      <c r="IC35" s="816"/>
      <c r="ID35" s="816"/>
      <c r="IE35" s="816"/>
      <c r="IF35" s="816"/>
      <c r="IG35" s="816"/>
      <c r="IH35" s="816"/>
      <c r="II35" s="816"/>
      <c r="IJ35" s="816"/>
      <c r="IK35" s="816"/>
      <c r="IL35" s="816"/>
      <c r="IM35" s="816"/>
      <c r="IN35" s="816"/>
      <c r="IO35" s="816"/>
      <c r="IP35" s="816"/>
      <c r="IQ35" s="816"/>
      <c r="IR35" s="816"/>
      <c r="IS35" s="816"/>
      <c r="IT35" s="816"/>
      <c r="IU35" s="816"/>
      <c r="IV35" s="816"/>
    </row>
    <row r="36" spans="1:256">
      <c r="A36" s="819" t="s">
        <v>638</v>
      </c>
      <c r="B36" s="818"/>
      <c r="C36" s="816"/>
      <c r="D36" s="818"/>
      <c r="E36" s="2298" t="s">
        <v>345</v>
      </c>
      <c r="F36" s="2298"/>
      <c r="G36" s="818"/>
      <c r="H36" s="818"/>
      <c r="I36" s="818"/>
      <c r="J36" s="816"/>
      <c r="K36" s="816"/>
      <c r="L36" s="81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6"/>
      <c r="AU36" s="816"/>
      <c r="AV36" s="816"/>
      <c r="AW36" s="816"/>
      <c r="AX36" s="816"/>
      <c r="AY36" s="816"/>
      <c r="AZ36" s="816"/>
      <c r="BA36" s="816"/>
      <c r="BB36" s="816"/>
      <c r="BC36" s="816"/>
      <c r="BD36" s="816"/>
      <c r="BE36" s="816"/>
      <c r="BF36" s="816"/>
      <c r="BG36" s="816"/>
      <c r="BH36" s="816"/>
      <c r="BI36" s="816"/>
      <c r="BJ36" s="816"/>
      <c r="BK36" s="816"/>
      <c r="BL36" s="816"/>
      <c r="BM36" s="816"/>
      <c r="BN36" s="816"/>
      <c r="BO36" s="816"/>
      <c r="BP36" s="816"/>
      <c r="BQ36" s="816"/>
      <c r="BR36" s="816"/>
      <c r="BS36" s="816"/>
      <c r="BT36" s="816"/>
      <c r="BU36" s="816"/>
      <c r="BV36" s="816"/>
      <c r="BW36" s="816"/>
      <c r="BX36" s="816"/>
      <c r="BY36" s="816"/>
      <c r="BZ36" s="816"/>
      <c r="CA36" s="816"/>
      <c r="CB36" s="816"/>
      <c r="CC36" s="816"/>
      <c r="CD36" s="816"/>
      <c r="CE36" s="816"/>
      <c r="CF36" s="816"/>
      <c r="CG36" s="816"/>
      <c r="CH36" s="816"/>
      <c r="CI36" s="816"/>
      <c r="CJ36" s="816"/>
      <c r="CK36" s="816"/>
      <c r="CL36" s="816"/>
      <c r="CM36" s="816"/>
      <c r="CN36" s="816"/>
      <c r="CO36" s="816"/>
      <c r="CP36" s="816"/>
      <c r="CQ36" s="816"/>
      <c r="CR36" s="816"/>
      <c r="CS36" s="816"/>
      <c r="CT36" s="816"/>
      <c r="CU36" s="816"/>
      <c r="CV36" s="816"/>
      <c r="CW36" s="816"/>
      <c r="CX36" s="816"/>
      <c r="CY36" s="816"/>
      <c r="CZ36" s="816"/>
      <c r="DA36" s="816"/>
      <c r="DB36" s="816"/>
      <c r="DC36" s="816"/>
      <c r="DD36" s="816"/>
      <c r="DE36" s="816"/>
      <c r="DF36" s="816"/>
      <c r="DG36" s="816"/>
      <c r="DH36" s="816"/>
      <c r="DI36" s="816"/>
      <c r="DJ36" s="816"/>
      <c r="DK36" s="816"/>
      <c r="DL36" s="816"/>
      <c r="DM36" s="816"/>
      <c r="DN36" s="816"/>
      <c r="DO36" s="816"/>
      <c r="DP36" s="816"/>
      <c r="DQ36" s="816"/>
      <c r="DR36" s="816"/>
      <c r="DS36" s="816"/>
      <c r="DT36" s="816"/>
      <c r="DU36" s="816"/>
      <c r="DV36" s="816"/>
      <c r="DW36" s="816"/>
      <c r="DX36" s="816"/>
      <c r="DY36" s="816"/>
      <c r="DZ36" s="816"/>
      <c r="EA36" s="816"/>
      <c r="EB36" s="816"/>
      <c r="EC36" s="816"/>
      <c r="ED36" s="816"/>
      <c r="EE36" s="816"/>
      <c r="EF36" s="816"/>
      <c r="EG36" s="816"/>
      <c r="EH36" s="816"/>
      <c r="EI36" s="816"/>
      <c r="EJ36" s="816"/>
      <c r="EK36" s="816"/>
      <c r="EL36" s="816"/>
      <c r="EM36" s="816"/>
      <c r="EN36" s="816"/>
      <c r="EO36" s="816"/>
      <c r="EP36" s="816"/>
      <c r="EQ36" s="816"/>
      <c r="ER36" s="816"/>
      <c r="ES36" s="816"/>
      <c r="ET36" s="816"/>
      <c r="EU36" s="816"/>
      <c r="EV36" s="816"/>
      <c r="EW36" s="816"/>
      <c r="EX36" s="816"/>
      <c r="EY36" s="816"/>
      <c r="EZ36" s="816"/>
      <c r="FA36" s="816"/>
      <c r="FB36" s="816"/>
      <c r="FC36" s="816"/>
      <c r="FD36" s="816"/>
      <c r="FE36" s="816"/>
      <c r="FF36" s="816"/>
      <c r="FG36" s="816"/>
      <c r="FH36" s="816"/>
      <c r="FI36" s="816"/>
      <c r="FJ36" s="816"/>
      <c r="FK36" s="816"/>
      <c r="FL36" s="816"/>
      <c r="FM36" s="816"/>
      <c r="FN36" s="816"/>
      <c r="FO36" s="816"/>
      <c r="FP36" s="816"/>
      <c r="FQ36" s="816"/>
      <c r="FR36" s="816"/>
      <c r="FS36" s="816"/>
      <c r="FT36" s="816"/>
      <c r="FU36" s="816"/>
      <c r="FV36" s="816"/>
      <c r="FW36" s="816"/>
      <c r="FX36" s="816"/>
      <c r="FY36" s="816"/>
      <c r="FZ36" s="816"/>
      <c r="GA36" s="816"/>
      <c r="GB36" s="816"/>
      <c r="GC36" s="816"/>
      <c r="GD36" s="816"/>
      <c r="GE36" s="816"/>
      <c r="GF36" s="816"/>
      <c r="GG36" s="816"/>
      <c r="GH36" s="816"/>
      <c r="GI36" s="816"/>
      <c r="GJ36" s="816"/>
      <c r="GK36" s="816"/>
      <c r="GL36" s="816"/>
      <c r="GM36" s="816"/>
      <c r="GN36" s="816"/>
      <c r="GO36" s="816"/>
      <c r="GP36" s="816"/>
      <c r="GQ36" s="816"/>
      <c r="GR36" s="816"/>
      <c r="GS36" s="816"/>
      <c r="GT36" s="816"/>
      <c r="GU36" s="816"/>
      <c r="GV36" s="816"/>
      <c r="GW36" s="816"/>
      <c r="GX36" s="816"/>
      <c r="GY36" s="816"/>
      <c r="GZ36" s="816"/>
      <c r="HA36" s="816"/>
      <c r="HB36" s="816"/>
      <c r="HC36" s="816"/>
      <c r="HD36" s="816"/>
      <c r="HE36" s="816"/>
      <c r="HF36" s="816"/>
      <c r="HG36" s="816"/>
      <c r="HH36" s="816"/>
      <c r="HI36" s="816"/>
      <c r="HJ36" s="816"/>
      <c r="HK36" s="816"/>
      <c r="HL36" s="816"/>
      <c r="HM36" s="816"/>
      <c r="HN36" s="816"/>
      <c r="HO36" s="816"/>
      <c r="HP36" s="816"/>
      <c r="HQ36" s="816"/>
      <c r="HR36" s="816"/>
      <c r="HS36" s="816"/>
      <c r="HT36" s="816"/>
      <c r="HU36" s="816"/>
      <c r="HV36" s="816"/>
      <c r="HW36" s="816"/>
      <c r="HX36" s="816"/>
      <c r="HY36" s="816"/>
      <c r="HZ36" s="816"/>
      <c r="IA36" s="816"/>
      <c r="IB36" s="816"/>
      <c r="IC36" s="816"/>
      <c r="ID36" s="816"/>
      <c r="IE36" s="816"/>
      <c r="IF36" s="816"/>
      <c r="IG36" s="816"/>
      <c r="IH36" s="816"/>
      <c r="II36" s="816"/>
      <c r="IJ36" s="816"/>
      <c r="IK36" s="816"/>
      <c r="IL36" s="816"/>
      <c r="IM36" s="816"/>
      <c r="IN36" s="816"/>
      <c r="IO36" s="816"/>
      <c r="IP36" s="816"/>
      <c r="IQ36" s="816"/>
      <c r="IR36" s="816"/>
      <c r="IS36" s="816"/>
      <c r="IT36" s="816"/>
      <c r="IU36" s="816"/>
      <c r="IV36" s="816"/>
    </row>
    <row r="37" spans="1:256">
      <c r="A37" s="820">
        <f>+A34+1</f>
        <v>20</v>
      </c>
      <c r="B37" s="822" t="s">
        <v>695</v>
      </c>
      <c r="C37" s="822"/>
      <c r="D37" s="822"/>
      <c r="E37" s="822" t="s">
        <v>524</v>
      </c>
      <c r="F37" s="818"/>
      <c r="G37" s="816"/>
      <c r="H37" s="711">
        <v>0</v>
      </c>
      <c r="I37" s="818"/>
      <c r="J37" s="816"/>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6"/>
      <c r="AO37" s="816"/>
      <c r="AP37" s="816"/>
      <c r="AQ37" s="816"/>
      <c r="AR37" s="816"/>
      <c r="AS37" s="816"/>
      <c r="AT37" s="816"/>
      <c r="AU37" s="816"/>
      <c r="AV37" s="816"/>
      <c r="AW37" s="816"/>
      <c r="AX37" s="816"/>
      <c r="AY37" s="816"/>
      <c r="AZ37" s="816"/>
      <c r="BA37" s="816"/>
      <c r="BB37" s="816"/>
      <c r="BC37" s="816"/>
      <c r="BD37" s="816"/>
      <c r="BE37" s="816"/>
      <c r="BF37" s="816"/>
      <c r="BG37" s="816"/>
      <c r="BH37" s="816"/>
      <c r="BI37" s="816"/>
      <c r="BJ37" s="816"/>
      <c r="BK37" s="816"/>
      <c r="BL37" s="816"/>
      <c r="BM37" s="816"/>
      <c r="BN37" s="816"/>
      <c r="BO37" s="816"/>
      <c r="BP37" s="816"/>
      <c r="BQ37" s="816"/>
      <c r="BR37" s="816"/>
      <c r="BS37" s="816"/>
      <c r="BT37" s="816"/>
      <c r="BU37" s="816"/>
      <c r="BV37" s="816"/>
      <c r="BW37" s="816"/>
      <c r="BX37" s="816"/>
      <c r="BY37" s="816"/>
      <c r="BZ37" s="816"/>
      <c r="CA37" s="816"/>
      <c r="CB37" s="816"/>
      <c r="CC37" s="816"/>
      <c r="CD37" s="816"/>
      <c r="CE37" s="816"/>
      <c r="CF37" s="816"/>
      <c r="CG37" s="816"/>
      <c r="CH37" s="816"/>
      <c r="CI37" s="816"/>
      <c r="CJ37" s="816"/>
      <c r="CK37" s="816"/>
      <c r="CL37" s="816"/>
      <c r="CM37" s="816"/>
      <c r="CN37" s="816"/>
      <c r="CO37" s="816"/>
      <c r="CP37" s="816"/>
      <c r="CQ37" s="816"/>
      <c r="CR37" s="816"/>
      <c r="CS37" s="816"/>
      <c r="CT37" s="816"/>
      <c r="CU37" s="816"/>
      <c r="CV37" s="816"/>
      <c r="CW37" s="816"/>
      <c r="CX37" s="816"/>
      <c r="CY37" s="816"/>
      <c r="CZ37" s="816"/>
      <c r="DA37" s="816"/>
      <c r="DB37" s="816"/>
      <c r="DC37" s="816"/>
      <c r="DD37" s="816"/>
      <c r="DE37" s="816"/>
      <c r="DF37" s="816"/>
      <c r="DG37" s="816"/>
      <c r="DH37" s="816"/>
      <c r="DI37" s="816"/>
      <c r="DJ37" s="816"/>
      <c r="DK37" s="816"/>
      <c r="DL37" s="816"/>
      <c r="DM37" s="816"/>
      <c r="DN37" s="816"/>
      <c r="DO37" s="816"/>
      <c r="DP37" s="816"/>
      <c r="DQ37" s="816"/>
      <c r="DR37" s="816"/>
      <c r="DS37" s="816"/>
      <c r="DT37" s="816"/>
      <c r="DU37" s="816"/>
      <c r="DV37" s="816"/>
      <c r="DW37" s="816"/>
      <c r="DX37" s="816"/>
      <c r="DY37" s="816"/>
      <c r="DZ37" s="816"/>
      <c r="EA37" s="816"/>
      <c r="EB37" s="816"/>
      <c r="EC37" s="816"/>
      <c r="ED37" s="816"/>
      <c r="EE37" s="816"/>
      <c r="EF37" s="816"/>
      <c r="EG37" s="816"/>
      <c r="EH37" s="816"/>
      <c r="EI37" s="816"/>
      <c r="EJ37" s="816"/>
      <c r="EK37" s="816"/>
      <c r="EL37" s="816"/>
      <c r="EM37" s="816"/>
      <c r="EN37" s="816"/>
      <c r="EO37" s="816"/>
      <c r="EP37" s="816"/>
      <c r="EQ37" s="816"/>
      <c r="ER37" s="816"/>
      <c r="ES37" s="816"/>
      <c r="ET37" s="816"/>
      <c r="EU37" s="816"/>
      <c r="EV37" s="816"/>
      <c r="EW37" s="816"/>
      <c r="EX37" s="816"/>
      <c r="EY37" s="816"/>
      <c r="EZ37" s="816"/>
      <c r="FA37" s="816"/>
      <c r="FB37" s="816"/>
      <c r="FC37" s="816"/>
      <c r="FD37" s="816"/>
      <c r="FE37" s="816"/>
      <c r="FF37" s="816"/>
      <c r="FG37" s="816"/>
      <c r="FH37" s="816"/>
      <c r="FI37" s="816"/>
      <c r="FJ37" s="816"/>
      <c r="FK37" s="816"/>
      <c r="FL37" s="816"/>
      <c r="FM37" s="816"/>
      <c r="FN37" s="816"/>
      <c r="FO37" s="816"/>
      <c r="FP37" s="816"/>
      <c r="FQ37" s="816"/>
      <c r="FR37" s="816"/>
      <c r="FS37" s="816"/>
      <c r="FT37" s="816"/>
      <c r="FU37" s="816"/>
      <c r="FV37" s="816"/>
      <c r="FW37" s="816"/>
      <c r="FX37" s="816"/>
      <c r="FY37" s="816"/>
      <c r="FZ37" s="816"/>
      <c r="GA37" s="816"/>
      <c r="GB37" s="816"/>
      <c r="GC37" s="816"/>
      <c r="GD37" s="816"/>
      <c r="GE37" s="816"/>
      <c r="GF37" s="816"/>
      <c r="GG37" s="816"/>
      <c r="GH37" s="816"/>
      <c r="GI37" s="816"/>
      <c r="GJ37" s="816"/>
      <c r="GK37" s="816"/>
      <c r="GL37" s="816"/>
      <c r="GM37" s="816"/>
      <c r="GN37" s="816"/>
      <c r="GO37" s="816"/>
      <c r="GP37" s="816"/>
      <c r="GQ37" s="816"/>
      <c r="GR37" s="816"/>
      <c r="GS37" s="816"/>
      <c r="GT37" s="816"/>
      <c r="GU37" s="816"/>
      <c r="GV37" s="816"/>
      <c r="GW37" s="816"/>
      <c r="GX37" s="816"/>
      <c r="GY37" s="816"/>
      <c r="GZ37" s="816"/>
      <c r="HA37" s="816"/>
      <c r="HB37" s="816"/>
      <c r="HC37" s="816"/>
      <c r="HD37" s="816"/>
      <c r="HE37" s="816"/>
      <c r="HF37" s="816"/>
      <c r="HG37" s="816"/>
      <c r="HH37" s="816"/>
      <c r="HI37" s="816"/>
      <c r="HJ37" s="816"/>
      <c r="HK37" s="816"/>
      <c r="HL37" s="816"/>
      <c r="HM37" s="816"/>
      <c r="HN37" s="816"/>
      <c r="HO37" s="816"/>
      <c r="HP37" s="816"/>
      <c r="HQ37" s="816"/>
      <c r="HR37" s="816"/>
      <c r="HS37" s="816"/>
      <c r="HT37" s="816"/>
      <c r="HU37" s="816"/>
      <c r="HV37" s="816"/>
      <c r="HW37" s="816"/>
      <c r="HX37" s="816"/>
      <c r="HY37" s="816"/>
      <c r="HZ37" s="816"/>
      <c r="IA37" s="816"/>
      <c r="IB37" s="816"/>
      <c r="IC37" s="816"/>
      <c r="ID37" s="816"/>
      <c r="IE37" s="816"/>
      <c r="IF37" s="816"/>
      <c r="IG37" s="816"/>
      <c r="IH37" s="816"/>
      <c r="II37" s="816"/>
      <c r="IJ37" s="816"/>
      <c r="IK37" s="816"/>
      <c r="IL37" s="816"/>
      <c r="IM37" s="816"/>
      <c r="IN37" s="816"/>
      <c r="IO37" s="816"/>
      <c r="IP37" s="816"/>
      <c r="IQ37" s="816"/>
      <c r="IR37" s="816"/>
      <c r="IS37" s="816"/>
      <c r="IT37" s="816"/>
      <c r="IU37" s="816"/>
      <c r="IV37" s="816"/>
    </row>
    <row r="38" spans="1:256">
      <c r="A38" s="820">
        <f>+A37+1</f>
        <v>21</v>
      </c>
      <c r="B38" s="822" t="s">
        <v>696</v>
      </c>
      <c r="C38" s="822"/>
      <c r="D38" s="822"/>
      <c r="E38" s="822" t="s">
        <v>525</v>
      </c>
      <c r="F38" s="818"/>
      <c r="G38" s="816"/>
      <c r="H38" s="711">
        <v>0</v>
      </c>
      <c r="I38" s="818"/>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816"/>
      <c r="BC38" s="816"/>
      <c r="BD38" s="816"/>
      <c r="BE38" s="816"/>
      <c r="BF38" s="816"/>
      <c r="BG38" s="816"/>
      <c r="BH38" s="816"/>
      <c r="BI38" s="816"/>
      <c r="BJ38" s="816"/>
      <c r="BK38" s="816"/>
      <c r="BL38" s="816"/>
      <c r="BM38" s="816"/>
      <c r="BN38" s="816"/>
      <c r="BO38" s="816"/>
      <c r="BP38" s="816"/>
      <c r="BQ38" s="816"/>
      <c r="BR38" s="816"/>
      <c r="BS38" s="816"/>
      <c r="BT38" s="816"/>
      <c r="BU38" s="816"/>
      <c r="BV38" s="816"/>
      <c r="BW38" s="816"/>
      <c r="BX38" s="816"/>
      <c r="BY38" s="816"/>
      <c r="BZ38" s="816"/>
      <c r="CA38" s="816"/>
      <c r="CB38" s="816"/>
      <c r="CC38" s="816"/>
      <c r="CD38" s="816"/>
      <c r="CE38" s="816"/>
      <c r="CF38" s="816"/>
      <c r="CG38" s="816"/>
      <c r="CH38" s="816"/>
      <c r="CI38" s="816"/>
      <c r="CJ38" s="816"/>
      <c r="CK38" s="816"/>
      <c r="CL38" s="816"/>
      <c r="CM38" s="816"/>
      <c r="CN38" s="816"/>
      <c r="CO38" s="816"/>
      <c r="CP38" s="816"/>
      <c r="CQ38" s="816"/>
      <c r="CR38" s="816"/>
      <c r="CS38" s="816"/>
      <c r="CT38" s="816"/>
      <c r="CU38" s="816"/>
      <c r="CV38" s="816"/>
      <c r="CW38" s="816"/>
      <c r="CX38" s="816"/>
      <c r="CY38" s="816"/>
      <c r="CZ38" s="816"/>
      <c r="DA38" s="816"/>
      <c r="DB38" s="816"/>
      <c r="DC38" s="816"/>
      <c r="DD38" s="816"/>
      <c r="DE38" s="816"/>
      <c r="DF38" s="816"/>
      <c r="DG38" s="816"/>
      <c r="DH38" s="816"/>
      <c r="DI38" s="816"/>
      <c r="DJ38" s="816"/>
      <c r="DK38" s="816"/>
      <c r="DL38" s="816"/>
      <c r="DM38" s="816"/>
      <c r="DN38" s="816"/>
      <c r="DO38" s="816"/>
      <c r="DP38" s="816"/>
      <c r="DQ38" s="816"/>
      <c r="DR38" s="816"/>
      <c r="DS38" s="816"/>
      <c r="DT38" s="816"/>
      <c r="DU38" s="816"/>
      <c r="DV38" s="816"/>
      <c r="DW38" s="816"/>
      <c r="DX38" s="816"/>
      <c r="DY38" s="816"/>
      <c r="DZ38" s="816"/>
      <c r="EA38" s="816"/>
      <c r="EB38" s="816"/>
      <c r="EC38" s="816"/>
      <c r="ED38" s="816"/>
      <c r="EE38" s="816"/>
      <c r="EF38" s="816"/>
      <c r="EG38" s="816"/>
      <c r="EH38" s="816"/>
      <c r="EI38" s="816"/>
      <c r="EJ38" s="816"/>
      <c r="EK38" s="816"/>
      <c r="EL38" s="816"/>
      <c r="EM38" s="816"/>
      <c r="EN38" s="816"/>
      <c r="EO38" s="816"/>
      <c r="EP38" s="816"/>
      <c r="EQ38" s="816"/>
      <c r="ER38" s="816"/>
      <c r="ES38" s="816"/>
      <c r="ET38" s="816"/>
      <c r="EU38" s="816"/>
      <c r="EV38" s="816"/>
      <c r="EW38" s="816"/>
      <c r="EX38" s="816"/>
      <c r="EY38" s="816"/>
      <c r="EZ38" s="816"/>
      <c r="FA38" s="816"/>
      <c r="FB38" s="816"/>
      <c r="FC38" s="816"/>
      <c r="FD38" s="816"/>
      <c r="FE38" s="816"/>
      <c r="FF38" s="816"/>
      <c r="FG38" s="816"/>
      <c r="FH38" s="816"/>
      <c r="FI38" s="816"/>
      <c r="FJ38" s="816"/>
      <c r="FK38" s="816"/>
      <c r="FL38" s="816"/>
      <c r="FM38" s="816"/>
      <c r="FN38" s="816"/>
      <c r="FO38" s="816"/>
      <c r="FP38" s="816"/>
      <c r="FQ38" s="816"/>
      <c r="FR38" s="816"/>
      <c r="FS38" s="816"/>
      <c r="FT38" s="816"/>
      <c r="FU38" s="816"/>
      <c r="FV38" s="816"/>
      <c r="FW38" s="816"/>
      <c r="FX38" s="816"/>
      <c r="FY38" s="816"/>
      <c r="FZ38" s="816"/>
      <c r="GA38" s="816"/>
      <c r="GB38" s="816"/>
      <c r="GC38" s="816"/>
      <c r="GD38" s="816"/>
      <c r="GE38" s="816"/>
      <c r="GF38" s="816"/>
      <c r="GG38" s="816"/>
      <c r="GH38" s="816"/>
      <c r="GI38" s="816"/>
      <c r="GJ38" s="816"/>
      <c r="GK38" s="816"/>
      <c r="GL38" s="816"/>
      <c r="GM38" s="816"/>
      <c r="GN38" s="816"/>
      <c r="GO38" s="816"/>
      <c r="GP38" s="816"/>
      <c r="GQ38" s="816"/>
      <c r="GR38" s="816"/>
      <c r="GS38" s="816"/>
      <c r="GT38" s="816"/>
      <c r="GU38" s="816"/>
      <c r="GV38" s="816"/>
      <c r="GW38" s="816"/>
      <c r="GX38" s="816"/>
      <c r="GY38" s="816"/>
      <c r="GZ38" s="816"/>
      <c r="HA38" s="816"/>
      <c r="HB38" s="816"/>
      <c r="HC38" s="816"/>
      <c r="HD38" s="816"/>
      <c r="HE38" s="816"/>
      <c r="HF38" s="816"/>
      <c r="HG38" s="816"/>
      <c r="HH38" s="816"/>
      <c r="HI38" s="816"/>
      <c r="HJ38" s="816"/>
      <c r="HK38" s="816"/>
      <c r="HL38" s="816"/>
      <c r="HM38" s="816"/>
      <c r="HN38" s="816"/>
      <c r="HO38" s="816"/>
      <c r="HP38" s="816"/>
      <c r="HQ38" s="816"/>
      <c r="HR38" s="816"/>
      <c r="HS38" s="816"/>
      <c r="HT38" s="816"/>
      <c r="HU38" s="816"/>
      <c r="HV38" s="816"/>
      <c r="HW38" s="816"/>
      <c r="HX38" s="816"/>
      <c r="HY38" s="816"/>
      <c r="HZ38" s="816"/>
      <c r="IA38" s="816"/>
      <c r="IB38" s="816"/>
      <c r="IC38" s="816"/>
      <c r="ID38" s="816"/>
      <c r="IE38" s="816"/>
      <c r="IF38" s="816"/>
      <c r="IG38" s="816"/>
      <c r="IH38" s="816"/>
      <c r="II38" s="816"/>
      <c r="IJ38" s="816"/>
      <c r="IK38" s="816"/>
      <c r="IL38" s="816"/>
      <c r="IM38" s="816"/>
      <c r="IN38" s="816"/>
      <c r="IO38" s="816"/>
      <c r="IP38" s="816"/>
      <c r="IQ38" s="816"/>
      <c r="IR38" s="816"/>
      <c r="IS38" s="816"/>
      <c r="IT38" s="816"/>
      <c r="IU38" s="816"/>
      <c r="IV38" s="816"/>
    </row>
    <row r="39" spans="1:256">
      <c r="A39" s="820">
        <f>+A38+1</f>
        <v>22</v>
      </c>
      <c r="B39" s="822" t="s">
        <v>508</v>
      </c>
      <c r="C39" s="822"/>
      <c r="D39" s="822"/>
      <c r="E39" s="822" t="str">
        <f>"Line "&amp;A37&amp;" less Line "&amp;A38</f>
        <v>Line 20 less Line 21</v>
      </c>
      <c r="F39" s="818"/>
      <c r="G39" s="816"/>
      <c r="H39" s="823">
        <f>+H37-H38</f>
        <v>0</v>
      </c>
      <c r="I39" s="818"/>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6"/>
      <c r="AU39" s="816"/>
      <c r="AV39" s="816"/>
      <c r="AW39" s="816"/>
      <c r="AX39" s="816"/>
      <c r="AY39" s="816"/>
      <c r="AZ39" s="816"/>
      <c r="BA39" s="816"/>
      <c r="BB39" s="816"/>
      <c r="BC39" s="816"/>
      <c r="BD39" s="816"/>
      <c r="BE39" s="816"/>
      <c r="BF39" s="816"/>
      <c r="BG39" s="816"/>
      <c r="BH39" s="816"/>
      <c r="BI39" s="816"/>
      <c r="BJ39" s="816"/>
      <c r="BK39" s="816"/>
      <c r="BL39" s="816"/>
      <c r="BM39" s="816"/>
      <c r="BN39" s="816"/>
      <c r="BO39" s="816"/>
      <c r="BP39" s="816"/>
      <c r="BQ39" s="816"/>
      <c r="BR39" s="816"/>
      <c r="BS39" s="816"/>
      <c r="BT39" s="816"/>
      <c r="BU39" s="816"/>
      <c r="BV39" s="816"/>
      <c r="BW39" s="816"/>
      <c r="BX39" s="816"/>
      <c r="BY39" s="816"/>
      <c r="BZ39" s="816"/>
      <c r="CA39" s="816"/>
      <c r="CB39" s="816"/>
      <c r="CC39" s="816"/>
      <c r="CD39" s="816"/>
      <c r="CE39" s="816"/>
      <c r="CF39" s="816"/>
      <c r="CG39" s="816"/>
      <c r="CH39" s="816"/>
      <c r="CI39" s="816"/>
      <c r="CJ39" s="816"/>
      <c r="CK39" s="816"/>
      <c r="CL39" s="816"/>
      <c r="CM39" s="816"/>
      <c r="CN39" s="816"/>
      <c r="CO39" s="816"/>
      <c r="CP39" s="816"/>
      <c r="CQ39" s="816"/>
      <c r="CR39" s="816"/>
      <c r="CS39" s="816"/>
      <c r="CT39" s="816"/>
      <c r="CU39" s="816"/>
      <c r="CV39" s="816"/>
      <c r="CW39" s="816"/>
      <c r="CX39" s="816"/>
      <c r="CY39" s="816"/>
      <c r="CZ39" s="816"/>
      <c r="DA39" s="816"/>
      <c r="DB39" s="816"/>
      <c r="DC39" s="816"/>
      <c r="DD39" s="816"/>
      <c r="DE39" s="816"/>
      <c r="DF39" s="816"/>
      <c r="DG39" s="816"/>
      <c r="DH39" s="816"/>
      <c r="DI39" s="816"/>
      <c r="DJ39" s="816"/>
      <c r="DK39" s="816"/>
      <c r="DL39" s="816"/>
      <c r="DM39" s="816"/>
      <c r="DN39" s="816"/>
      <c r="DO39" s="816"/>
      <c r="DP39" s="816"/>
      <c r="DQ39" s="816"/>
      <c r="DR39" s="816"/>
      <c r="DS39" s="816"/>
      <c r="DT39" s="816"/>
      <c r="DU39" s="816"/>
      <c r="DV39" s="816"/>
      <c r="DW39" s="816"/>
      <c r="DX39" s="816"/>
      <c r="DY39" s="816"/>
      <c r="DZ39" s="816"/>
      <c r="EA39" s="816"/>
      <c r="EB39" s="816"/>
      <c r="EC39" s="816"/>
      <c r="ED39" s="816"/>
      <c r="EE39" s="816"/>
      <c r="EF39" s="816"/>
      <c r="EG39" s="816"/>
      <c r="EH39" s="816"/>
      <c r="EI39" s="816"/>
      <c r="EJ39" s="816"/>
      <c r="EK39" s="816"/>
      <c r="EL39" s="816"/>
      <c r="EM39" s="816"/>
      <c r="EN39" s="816"/>
      <c r="EO39" s="816"/>
      <c r="EP39" s="816"/>
      <c r="EQ39" s="816"/>
      <c r="ER39" s="816"/>
      <c r="ES39" s="816"/>
      <c r="ET39" s="816"/>
      <c r="EU39" s="816"/>
      <c r="EV39" s="816"/>
      <c r="EW39" s="816"/>
      <c r="EX39" s="816"/>
      <c r="EY39" s="816"/>
      <c r="EZ39" s="816"/>
      <c r="FA39" s="816"/>
      <c r="FB39" s="816"/>
      <c r="FC39" s="816"/>
      <c r="FD39" s="816"/>
      <c r="FE39" s="816"/>
      <c r="FF39" s="816"/>
      <c r="FG39" s="816"/>
      <c r="FH39" s="816"/>
      <c r="FI39" s="816"/>
      <c r="FJ39" s="816"/>
      <c r="FK39" s="816"/>
      <c r="FL39" s="816"/>
      <c r="FM39" s="816"/>
      <c r="FN39" s="816"/>
      <c r="FO39" s="816"/>
      <c r="FP39" s="816"/>
      <c r="FQ39" s="816"/>
      <c r="FR39" s="816"/>
      <c r="FS39" s="816"/>
      <c r="FT39" s="816"/>
      <c r="FU39" s="816"/>
      <c r="FV39" s="816"/>
      <c r="FW39" s="816"/>
      <c r="FX39" s="816"/>
      <c r="FY39" s="816"/>
      <c r="FZ39" s="816"/>
      <c r="GA39" s="816"/>
      <c r="GB39" s="816"/>
      <c r="GC39" s="816"/>
      <c r="GD39" s="816"/>
      <c r="GE39" s="816"/>
      <c r="GF39" s="816"/>
      <c r="GG39" s="816"/>
      <c r="GH39" s="816"/>
      <c r="GI39" s="816"/>
      <c r="GJ39" s="816"/>
      <c r="GK39" s="816"/>
      <c r="GL39" s="816"/>
      <c r="GM39" s="816"/>
      <c r="GN39" s="816"/>
      <c r="GO39" s="816"/>
      <c r="GP39" s="816"/>
      <c r="GQ39" s="816"/>
      <c r="GR39" s="816"/>
      <c r="GS39" s="816"/>
      <c r="GT39" s="816"/>
      <c r="GU39" s="816"/>
      <c r="GV39" s="816"/>
      <c r="GW39" s="816"/>
      <c r="GX39" s="816"/>
      <c r="GY39" s="816"/>
      <c r="GZ39" s="816"/>
      <c r="HA39" s="816"/>
      <c r="HB39" s="816"/>
      <c r="HC39" s="816"/>
      <c r="HD39" s="816"/>
      <c r="HE39" s="816"/>
      <c r="HF39" s="816"/>
      <c r="HG39" s="816"/>
      <c r="HH39" s="816"/>
      <c r="HI39" s="816"/>
      <c r="HJ39" s="816"/>
      <c r="HK39" s="816"/>
      <c r="HL39" s="816"/>
      <c r="HM39" s="816"/>
      <c r="HN39" s="816"/>
      <c r="HO39" s="816"/>
      <c r="HP39" s="816"/>
      <c r="HQ39" s="816"/>
      <c r="HR39" s="816"/>
      <c r="HS39" s="816"/>
      <c r="HT39" s="816"/>
      <c r="HU39" s="816"/>
      <c r="HV39" s="816"/>
      <c r="HW39" s="816"/>
      <c r="HX39" s="816"/>
      <c r="HY39" s="816"/>
      <c r="HZ39" s="816"/>
      <c r="IA39" s="816"/>
      <c r="IB39" s="816"/>
      <c r="IC39" s="816"/>
      <c r="ID39" s="816"/>
      <c r="IE39" s="816"/>
      <c r="IF39" s="816"/>
      <c r="IG39" s="816"/>
      <c r="IH39" s="816"/>
      <c r="II39" s="816"/>
      <c r="IJ39" s="816"/>
      <c r="IK39" s="816"/>
      <c r="IL39" s="816"/>
      <c r="IM39" s="816"/>
      <c r="IN39" s="816"/>
      <c r="IO39" s="816"/>
      <c r="IP39" s="816"/>
      <c r="IQ39" s="816"/>
      <c r="IR39" s="816"/>
      <c r="IS39" s="816"/>
      <c r="IT39" s="816"/>
      <c r="IU39" s="816"/>
      <c r="IV39" s="816"/>
    </row>
    <row r="40" spans="1:256">
      <c r="A40" s="820">
        <f>+A39+1</f>
        <v>23</v>
      </c>
      <c r="B40" s="822" t="s">
        <v>509</v>
      </c>
      <c r="C40" s="822"/>
      <c r="D40" s="822"/>
      <c r="E40" s="822" t="str">
        <f>"Line "&amp;A39&amp;" / 12"</f>
        <v>Line 22 / 12</v>
      </c>
      <c r="F40" s="818"/>
      <c r="G40" s="816"/>
      <c r="H40" s="824">
        <f>+H39/12</f>
        <v>0</v>
      </c>
      <c r="I40" s="818"/>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c r="AR40" s="816"/>
      <c r="AS40" s="816"/>
      <c r="AT40" s="816"/>
      <c r="AU40" s="816"/>
      <c r="AV40" s="816"/>
      <c r="AW40" s="816"/>
      <c r="AX40" s="816"/>
      <c r="AY40" s="816"/>
      <c r="AZ40" s="816"/>
      <c r="BA40" s="816"/>
      <c r="BB40" s="816"/>
      <c r="BC40" s="816"/>
      <c r="BD40" s="816"/>
      <c r="BE40" s="816"/>
      <c r="BF40" s="816"/>
      <c r="BG40" s="816"/>
      <c r="BH40" s="816"/>
      <c r="BI40" s="816"/>
      <c r="BJ40" s="816"/>
      <c r="BK40" s="816"/>
      <c r="BL40" s="816"/>
      <c r="BM40" s="816"/>
      <c r="BN40" s="816"/>
      <c r="BO40" s="816"/>
      <c r="BP40" s="816"/>
      <c r="BQ40" s="816"/>
      <c r="BR40" s="816"/>
      <c r="BS40" s="816"/>
      <c r="BT40" s="816"/>
      <c r="BU40" s="816"/>
      <c r="BV40" s="816"/>
      <c r="BW40" s="816"/>
      <c r="BX40" s="816"/>
      <c r="BY40" s="816"/>
      <c r="BZ40" s="816"/>
      <c r="CA40" s="816"/>
      <c r="CB40" s="816"/>
      <c r="CC40" s="816"/>
      <c r="CD40" s="816"/>
      <c r="CE40" s="816"/>
      <c r="CF40" s="816"/>
      <c r="CG40" s="816"/>
      <c r="CH40" s="816"/>
      <c r="CI40" s="816"/>
      <c r="CJ40" s="816"/>
      <c r="CK40" s="816"/>
      <c r="CL40" s="816"/>
      <c r="CM40" s="816"/>
      <c r="CN40" s="816"/>
      <c r="CO40" s="816"/>
      <c r="CP40" s="816"/>
      <c r="CQ40" s="816"/>
      <c r="CR40" s="816"/>
      <c r="CS40" s="816"/>
      <c r="CT40" s="816"/>
      <c r="CU40" s="816"/>
      <c r="CV40" s="816"/>
      <c r="CW40" s="816"/>
      <c r="CX40" s="816"/>
      <c r="CY40" s="816"/>
      <c r="CZ40" s="816"/>
      <c r="DA40" s="816"/>
      <c r="DB40" s="816"/>
      <c r="DC40" s="816"/>
      <c r="DD40" s="816"/>
      <c r="DE40" s="816"/>
      <c r="DF40" s="816"/>
      <c r="DG40" s="816"/>
      <c r="DH40" s="816"/>
      <c r="DI40" s="816"/>
      <c r="DJ40" s="816"/>
      <c r="DK40" s="816"/>
      <c r="DL40" s="816"/>
      <c r="DM40" s="816"/>
      <c r="DN40" s="816"/>
      <c r="DO40" s="816"/>
      <c r="DP40" s="816"/>
      <c r="DQ40" s="816"/>
      <c r="DR40" s="816"/>
      <c r="DS40" s="816"/>
      <c r="DT40" s="816"/>
      <c r="DU40" s="816"/>
      <c r="DV40" s="816"/>
      <c r="DW40" s="816"/>
      <c r="DX40" s="816"/>
      <c r="DY40" s="816"/>
      <c r="DZ40" s="816"/>
      <c r="EA40" s="816"/>
      <c r="EB40" s="816"/>
      <c r="EC40" s="816"/>
      <c r="ED40" s="816"/>
      <c r="EE40" s="816"/>
      <c r="EF40" s="816"/>
      <c r="EG40" s="816"/>
      <c r="EH40" s="816"/>
      <c r="EI40" s="816"/>
      <c r="EJ40" s="816"/>
      <c r="EK40" s="816"/>
      <c r="EL40" s="816"/>
      <c r="EM40" s="816"/>
      <c r="EN40" s="816"/>
      <c r="EO40" s="816"/>
      <c r="EP40" s="816"/>
      <c r="EQ40" s="816"/>
      <c r="ER40" s="816"/>
      <c r="ES40" s="816"/>
      <c r="ET40" s="816"/>
      <c r="EU40" s="816"/>
      <c r="EV40" s="816"/>
      <c r="EW40" s="816"/>
      <c r="EX40" s="816"/>
      <c r="EY40" s="816"/>
      <c r="EZ40" s="816"/>
      <c r="FA40" s="816"/>
      <c r="FB40" s="816"/>
      <c r="FC40" s="816"/>
      <c r="FD40" s="816"/>
      <c r="FE40" s="816"/>
      <c r="FF40" s="816"/>
      <c r="FG40" s="816"/>
      <c r="FH40" s="816"/>
      <c r="FI40" s="816"/>
      <c r="FJ40" s="816"/>
      <c r="FK40" s="816"/>
      <c r="FL40" s="816"/>
      <c r="FM40" s="816"/>
      <c r="FN40" s="816"/>
      <c r="FO40" s="816"/>
      <c r="FP40" s="816"/>
      <c r="FQ40" s="816"/>
      <c r="FR40" s="816"/>
      <c r="FS40" s="816"/>
      <c r="FT40" s="816"/>
      <c r="FU40" s="816"/>
      <c r="FV40" s="816"/>
      <c r="FW40" s="816"/>
      <c r="FX40" s="816"/>
      <c r="FY40" s="816"/>
      <c r="FZ40" s="816"/>
      <c r="GA40" s="816"/>
      <c r="GB40" s="816"/>
      <c r="GC40" s="816"/>
      <c r="GD40" s="816"/>
      <c r="GE40" s="816"/>
      <c r="GF40" s="816"/>
      <c r="GG40" s="816"/>
      <c r="GH40" s="816"/>
      <c r="GI40" s="816"/>
      <c r="GJ40" s="816"/>
      <c r="GK40" s="816"/>
      <c r="GL40" s="816"/>
      <c r="GM40" s="816"/>
      <c r="GN40" s="816"/>
      <c r="GO40" s="816"/>
      <c r="GP40" s="816"/>
      <c r="GQ40" s="816"/>
      <c r="GR40" s="816"/>
      <c r="GS40" s="816"/>
      <c r="GT40" s="816"/>
      <c r="GU40" s="816"/>
      <c r="GV40" s="816"/>
      <c r="GW40" s="816"/>
      <c r="GX40" s="816"/>
      <c r="GY40" s="816"/>
      <c r="GZ40" s="816"/>
      <c r="HA40" s="816"/>
      <c r="HB40" s="816"/>
      <c r="HC40" s="816"/>
      <c r="HD40" s="816"/>
      <c r="HE40" s="816"/>
      <c r="HF40" s="816"/>
      <c r="HG40" s="816"/>
      <c r="HH40" s="816"/>
      <c r="HI40" s="816"/>
      <c r="HJ40" s="816"/>
      <c r="HK40" s="816"/>
      <c r="HL40" s="816"/>
      <c r="HM40" s="816"/>
      <c r="HN40" s="816"/>
      <c r="HO40" s="816"/>
      <c r="HP40" s="816"/>
      <c r="HQ40" s="816"/>
      <c r="HR40" s="816"/>
      <c r="HS40" s="816"/>
      <c r="HT40" s="816"/>
      <c r="HU40" s="816"/>
      <c r="HV40" s="816"/>
      <c r="HW40" s="816"/>
      <c r="HX40" s="816"/>
      <c r="HY40" s="816"/>
      <c r="HZ40" s="816"/>
      <c r="IA40" s="816"/>
      <c r="IB40" s="816"/>
      <c r="IC40" s="816"/>
      <c r="ID40" s="816"/>
      <c r="IE40" s="816"/>
      <c r="IF40" s="816"/>
      <c r="IG40" s="816"/>
      <c r="IH40" s="816"/>
      <c r="II40" s="816"/>
      <c r="IJ40" s="816"/>
      <c r="IK40" s="816"/>
      <c r="IL40" s="816"/>
      <c r="IM40" s="816"/>
      <c r="IN40" s="816"/>
      <c r="IO40" s="816"/>
      <c r="IP40" s="816"/>
      <c r="IQ40" s="816"/>
      <c r="IR40" s="816"/>
      <c r="IS40" s="816"/>
      <c r="IT40" s="816"/>
      <c r="IU40" s="816"/>
      <c r="IV40" s="816"/>
    </row>
    <row r="41" spans="1:256">
      <c r="A41" s="822"/>
      <c r="B41" s="822"/>
      <c r="C41" s="822"/>
      <c r="D41" s="822"/>
      <c r="E41" s="818"/>
      <c r="F41" s="818"/>
      <c r="G41" s="818"/>
      <c r="H41" s="818"/>
      <c r="I41" s="818"/>
      <c r="J41" s="816"/>
      <c r="K41" s="816"/>
      <c r="L41" s="816"/>
      <c r="M41" s="816"/>
      <c r="N41" s="816"/>
      <c r="O41" s="816"/>
      <c r="P41" s="816"/>
      <c r="Q41" s="816"/>
      <c r="R41" s="816"/>
      <c r="S41" s="816"/>
      <c r="T41" s="816"/>
      <c r="U41" s="816"/>
      <c r="V41" s="816"/>
      <c r="W41" s="816"/>
      <c r="X41" s="816"/>
      <c r="Y41" s="816"/>
      <c r="Z41" s="816"/>
      <c r="AA41" s="816"/>
      <c r="AB41" s="816"/>
      <c r="AC41" s="816"/>
      <c r="AD41" s="816"/>
      <c r="AE41" s="816"/>
      <c r="AF41" s="816"/>
      <c r="AG41" s="816"/>
      <c r="AH41" s="816"/>
      <c r="AI41" s="816"/>
      <c r="AJ41" s="816"/>
      <c r="AK41" s="816"/>
      <c r="AL41" s="816"/>
      <c r="AM41" s="816"/>
      <c r="AN41" s="816"/>
      <c r="AO41" s="816"/>
      <c r="AP41" s="816"/>
      <c r="AQ41" s="816"/>
      <c r="AR41" s="816"/>
      <c r="AS41" s="816"/>
      <c r="AT41" s="816"/>
      <c r="AU41" s="816"/>
      <c r="AV41" s="816"/>
      <c r="AW41" s="816"/>
      <c r="AX41" s="816"/>
      <c r="AY41" s="816"/>
      <c r="AZ41" s="816"/>
      <c r="BA41" s="816"/>
      <c r="BB41" s="816"/>
      <c r="BC41" s="816"/>
      <c r="BD41" s="816"/>
      <c r="BE41" s="816"/>
      <c r="BF41" s="816"/>
      <c r="BG41" s="816"/>
      <c r="BH41" s="816"/>
      <c r="BI41" s="816"/>
      <c r="BJ41" s="816"/>
      <c r="BK41" s="816"/>
      <c r="BL41" s="816"/>
      <c r="BM41" s="816"/>
      <c r="BN41" s="816"/>
      <c r="BO41" s="816"/>
      <c r="BP41" s="816"/>
      <c r="BQ41" s="816"/>
      <c r="BR41" s="816"/>
      <c r="BS41" s="816"/>
      <c r="BT41" s="816"/>
      <c r="BU41" s="816"/>
      <c r="BV41" s="816"/>
      <c r="BW41" s="816"/>
      <c r="BX41" s="816"/>
      <c r="BY41" s="816"/>
      <c r="BZ41" s="816"/>
      <c r="CA41" s="816"/>
      <c r="CB41" s="816"/>
      <c r="CC41" s="816"/>
      <c r="CD41" s="816"/>
      <c r="CE41" s="816"/>
      <c r="CF41" s="816"/>
      <c r="CG41" s="816"/>
      <c r="CH41" s="816"/>
      <c r="CI41" s="816"/>
      <c r="CJ41" s="816"/>
      <c r="CK41" s="816"/>
      <c r="CL41" s="816"/>
      <c r="CM41" s="816"/>
      <c r="CN41" s="816"/>
      <c r="CO41" s="816"/>
      <c r="CP41" s="816"/>
      <c r="CQ41" s="816"/>
      <c r="CR41" s="816"/>
      <c r="CS41" s="816"/>
      <c r="CT41" s="816"/>
      <c r="CU41" s="816"/>
      <c r="CV41" s="816"/>
      <c r="CW41" s="816"/>
      <c r="CX41" s="816"/>
      <c r="CY41" s="816"/>
      <c r="CZ41" s="816"/>
      <c r="DA41" s="816"/>
      <c r="DB41" s="816"/>
      <c r="DC41" s="816"/>
      <c r="DD41" s="816"/>
      <c r="DE41" s="816"/>
      <c r="DF41" s="816"/>
      <c r="DG41" s="816"/>
      <c r="DH41" s="816"/>
      <c r="DI41" s="816"/>
      <c r="DJ41" s="816"/>
      <c r="DK41" s="816"/>
      <c r="DL41" s="816"/>
      <c r="DM41" s="816"/>
      <c r="DN41" s="816"/>
      <c r="DO41" s="816"/>
      <c r="DP41" s="816"/>
      <c r="DQ41" s="816"/>
      <c r="DR41" s="816"/>
      <c r="DS41" s="816"/>
      <c r="DT41" s="816"/>
      <c r="DU41" s="816"/>
      <c r="DV41" s="816"/>
      <c r="DW41" s="816"/>
      <c r="DX41" s="816"/>
      <c r="DY41" s="816"/>
      <c r="DZ41" s="816"/>
      <c r="EA41" s="816"/>
      <c r="EB41" s="816"/>
      <c r="EC41" s="816"/>
      <c r="ED41" s="816"/>
      <c r="EE41" s="816"/>
      <c r="EF41" s="816"/>
      <c r="EG41" s="816"/>
      <c r="EH41" s="816"/>
      <c r="EI41" s="816"/>
      <c r="EJ41" s="816"/>
      <c r="EK41" s="816"/>
      <c r="EL41" s="816"/>
      <c r="EM41" s="816"/>
      <c r="EN41" s="816"/>
      <c r="EO41" s="816"/>
      <c r="EP41" s="816"/>
      <c r="EQ41" s="816"/>
      <c r="ER41" s="816"/>
      <c r="ES41" s="816"/>
      <c r="ET41" s="816"/>
      <c r="EU41" s="816"/>
      <c r="EV41" s="816"/>
      <c r="EW41" s="816"/>
      <c r="EX41" s="816"/>
      <c r="EY41" s="816"/>
      <c r="EZ41" s="816"/>
      <c r="FA41" s="816"/>
      <c r="FB41" s="816"/>
      <c r="FC41" s="816"/>
      <c r="FD41" s="816"/>
      <c r="FE41" s="816"/>
      <c r="FF41" s="816"/>
      <c r="FG41" s="816"/>
      <c r="FH41" s="816"/>
      <c r="FI41" s="816"/>
      <c r="FJ41" s="816"/>
      <c r="FK41" s="816"/>
      <c r="FL41" s="816"/>
      <c r="FM41" s="816"/>
      <c r="FN41" s="816"/>
      <c r="FO41" s="816"/>
      <c r="FP41" s="816"/>
      <c r="FQ41" s="816"/>
      <c r="FR41" s="816"/>
      <c r="FS41" s="816"/>
      <c r="FT41" s="816"/>
      <c r="FU41" s="816"/>
      <c r="FV41" s="816"/>
      <c r="FW41" s="816"/>
      <c r="FX41" s="816"/>
      <c r="FY41" s="816"/>
      <c r="FZ41" s="816"/>
      <c r="GA41" s="816"/>
      <c r="GB41" s="816"/>
      <c r="GC41" s="816"/>
      <c r="GD41" s="816"/>
      <c r="GE41" s="816"/>
      <c r="GF41" s="816"/>
      <c r="GG41" s="816"/>
      <c r="GH41" s="816"/>
      <c r="GI41" s="816"/>
      <c r="GJ41" s="816"/>
      <c r="GK41" s="816"/>
      <c r="GL41" s="816"/>
      <c r="GM41" s="816"/>
      <c r="GN41" s="816"/>
      <c r="GO41" s="816"/>
      <c r="GP41" s="816"/>
      <c r="GQ41" s="816"/>
      <c r="GR41" s="816"/>
      <c r="GS41" s="816"/>
      <c r="GT41" s="816"/>
      <c r="GU41" s="816"/>
      <c r="GV41" s="816"/>
      <c r="GW41" s="816"/>
      <c r="GX41" s="816"/>
      <c r="GY41" s="816"/>
      <c r="GZ41" s="816"/>
      <c r="HA41" s="816"/>
      <c r="HB41" s="816"/>
      <c r="HC41" s="816"/>
      <c r="HD41" s="816"/>
      <c r="HE41" s="816"/>
      <c r="HF41" s="816"/>
      <c r="HG41" s="816"/>
      <c r="HH41" s="816"/>
      <c r="HI41" s="816"/>
      <c r="HJ41" s="816"/>
      <c r="HK41" s="816"/>
      <c r="HL41" s="816"/>
      <c r="HM41" s="816"/>
      <c r="HN41" s="816"/>
      <c r="HO41" s="816"/>
      <c r="HP41" s="816"/>
      <c r="HQ41" s="816"/>
      <c r="HR41" s="816"/>
      <c r="HS41" s="816"/>
      <c r="HT41" s="816"/>
      <c r="HU41" s="816"/>
      <c r="HV41" s="816"/>
      <c r="HW41" s="816"/>
      <c r="HX41" s="816"/>
      <c r="HY41" s="816"/>
      <c r="HZ41" s="816"/>
      <c r="IA41" s="816"/>
      <c r="IB41" s="816"/>
      <c r="IC41" s="816"/>
      <c r="ID41" s="816"/>
      <c r="IE41" s="816"/>
      <c r="IF41" s="816"/>
      <c r="IG41" s="816"/>
      <c r="IH41" s="816"/>
      <c r="II41" s="816"/>
      <c r="IJ41" s="816"/>
      <c r="IK41" s="816"/>
      <c r="IL41" s="816"/>
      <c r="IM41" s="816"/>
      <c r="IN41" s="816"/>
      <c r="IO41" s="816"/>
      <c r="IP41" s="816"/>
      <c r="IQ41" s="816"/>
      <c r="IR41" s="816"/>
      <c r="IS41" s="816"/>
      <c r="IT41" s="816"/>
      <c r="IU41" s="816"/>
      <c r="IV41" s="816"/>
    </row>
    <row r="42" spans="1:256" ht="15">
      <c r="A42" s="816"/>
      <c r="B42" s="825" t="s">
        <v>301</v>
      </c>
      <c r="C42" s="825" t="s">
        <v>302</v>
      </c>
      <c r="D42" s="825" t="s">
        <v>47</v>
      </c>
      <c r="E42" s="825" t="s">
        <v>304</v>
      </c>
      <c r="F42" s="825" t="s">
        <v>229</v>
      </c>
      <c r="G42" s="825" t="s">
        <v>230</v>
      </c>
      <c r="H42" s="825" t="s">
        <v>231</v>
      </c>
      <c r="I42" s="825" t="s">
        <v>236</v>
      </c>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6"/>
      <c r="AU42" s="816"/>
      <c r="AV42" s="816"/>
      <c r="AW42" s="816"/>
      <c r="AX42" s="816"/>
      <c r="AY42" s="816"/>
      <c r="AZ42" s="816"/>
      <c r="BA42" s="816"/>
      <c r="BB42" s="816"/>
      <c r="BC42" s="816"/>
      <c r="BD42" s="816"/>
      <c r="BE42" s="816"/>
      <c r="BF42" s="816"/>
      <c r="BG42" s="816"/>
      <c r="BH42" s="816"/>
      <c r="BI42" s="816"/>
      <c r="BJ42" s="816"/>
      <c r="BK42" s="816"/>
      <c r="BL42" s="816"/>
      <c r="BM42" s="816"/>
      <c r="BN42" s="816"/>
      <c r="BO42" s="816"/>
      <c r="BP42" s="816"/>
      <c r="BQ42" s="816"/>
      <c r="BR42" s="816"/>
      <c r="BS42" s="816"/>
      <c r="BT42" s="816"/>
      <c r="BU42" s="816"/>
      <c r="BV42" s="816"/>
      <c r="BW42" s="816"/>
      <c r="BX42" s="816"/>
      <c r="BY42" s="816"/>
      <c r="BZ42" s="816"/>
      <c r="CA42" s="816"/>
      <c r="CB42" s="816"/>
      <c r="CC42" s="816"/>
      <c r="CD42" s="816"/>
      <c r="CE42" s="816"/>
      <c r="CF42" s="816"/>
      <c r="CG42" s="816"/>
      <c r="CH42" s="816"/>
      <c r="CI42" s="816"/>
      <c r="CJ42" s="816"/>
      <c r="CK42" s="816"/>
      <c r="CL42" s="816"/>
      <c r="CM42" s="816"/>
      <c r="CN42" s="816"/>
      <c r="CO42" s="816"/>
      <c r="CP42" s="816"/>
      <c r="CQ42" s="816"/>
      <c r="CR42" s="816"/>
      <c r="CS42" s="816"/>
      <c r="CT42" s="816"/>
      <c r="CU42" s="816"/>
      <c r="CV42" s="816"/>
      <c r="CW42" s="816"/>
      <c r="CX42" s="816"/>
      <c r="CY42" s="816"/>
      <c r="CZ42" s="816"/>
      <c r="DA42" s="816"/>
      <c r="DB42" s="816"/>
      <c r="DC42" s="816"/>
      <c r="DD42" s="816"/>
      <c r="DE42" s="816"/>
      <c r="DF42" s="816"/>
      <c r="DG42" s="816"/>
      <c r="DH42" s="816"/>
      <c r="DI42" s="816"/>
      <c r="DJ42" s="816"/>
      <c r="DK42" s="816"/>
      <c r="DL42" s="816"/>
      <c r="DM42" s="816"/>
      <c r="DN42" s="816"/>
      <c r="DO42" s="816"/>
      <c r="DP42" s="816"/>
      <c r="DQ42" s="816"/>
      <c r="DR42" s="816"/>
      <c r="DS42" s="816"/>
      <c r="DT42" s="816"/>
      <c r="DU42" s="816"/>
      <c r="DV42" s="816"/>
      <c r="DW42" s="816"/>
      <c r="DX42" s="816"/>
      <c r="DY42" s="816"/>
      <c r="DZ42" s="816"/>
      <c r="EA42" s="816"/>
      <c r="EB42" s="816"/>
      <c r="EC42" s="816"/>
      <c r="ED42" s="816"/>
      <c r="EE42" s="816"/>
      <c r="EF42" s="816"/>
      <c r="EG42" s="816"/>
      <c r="EH42" s="816"/>
      <c r="EI42" s="816"/>
      <c r="EJ42" s="816"/>
      <c r="EK42" s="816"/>
      <c r="EL42" s="816"/>
      <c r="EM42" s="816"/>
      <c r="EN42" s="816"/>
      <c r="EO42" s="816"/>
      <c r="EP42" s="816"/>
      <c r="EQ42" s="816"/>
      <c r="ER42" s="816"/>
      <c r="ES42" s="816"/>
      <c r="ET42" s="816"/>
      <c r="EU42" s="816"/>
      <c r="EV42" s="816"/>
      <c r="EW42" s="816"/>
      <c r="EX42" s="816"/>
      <c r="EY42" s="816"/>
      <c r="EZ42" s="816"/>
      <c r="FA42" s="816"/>
      <c r="FB42" s="816"/>
      <c r="FC42" s="816"/>
      <c r="FD42" s="816"/>
      <c r="FE42" s="816"/>
      <c r="FF42" s="816"/>
      <c r="FG42" s="816"/>
      <c r="FH42" s="816"/>
      <c r="FI42" s="816"/>
      <c r="FJ42" s="816"/>
      <c r="FK42" s="816"/>
      <c r="FL42" s="816"/>
      <c r="FM42" s="816"/>
      <c r="FN42" s="816"/>
      <c r="FO42" s="816"/>
      <c r="FP42" s="816"/>
      <c r="FQ42" s="816"/>
      <c r="FR42" s="816"/>
      <c r="FS42" s="816"/>
      <c r="FT42" s="816"/>
      <c r="FU42" s="816"/>
      <c r="FV42" s="816"/>
      <c r="FW42" s="816"/>
      <c r="FX42" s="816"/>
      <c r="FY42" s="816"/>
      <c r="FZ42" s="816"/>
      <c r="GA42" s="816"/>
      <c r="GB42" s="816"/>
      <c r="GC42" s="816"/>
      <c r="GD42" s="816"/>
      <c r="GE42" s="816"/>
      <c r="GF42" s="816"/>
      <c r="GG42" s="816"/>
      <c r="GH42" s="816"/>
      <c r="GI42" s="816"/>
      <c r="GJ42" s="816"/>
      <c r="GK42" s="816"/>
      <c r="GL42" s="816"/>
      <c r="GM42" s="816"/>
      <c r="GN42" s="816"/>
      <c r="GO42" s="816"/>
      <c r="GP42" s="816"/>
      <c r="GQ42" s="816"/>
      <c r="GR42" s="816"/>
      <c r="GS42" s="816"/>
      <c r="GT42" s="816"/>
      <c r="GU42" s="816"/>
      <c r="GV42" s="816"/>
      <c r="GW42" s="816"/>
      <c r="GX42" s="816"/>
      <c r="GY42" s="816"/>
      <c r="GZ42" s="816"/>
      <c r="HA42" s="816"/>
      <c r="HB42" s="816"/>
      <c r="HC42" s="816"/>
      <c r="HD42" s="816"/>
      <c r="HE42" s="816"/>
      <c r="HF42" s="816"/>
      <c r="HG42" s="816"/>
      <c r="HH42" s="816"/>
      <c r="HI42" s="816"/>
      <c r="HJ42" s="816"/>
      <c r="HK42" s="816"/>
      <c r="HL42" s="816"/>
      <c r="HM42" s="816"/>
      <c r="HN42" s="816"/>
      <c r="HO42" s="816"/>
      <c r="HP42" s="816"/>
      <c r="HQ42" s="816"/>
      <c r="HR42" s="816"/>
      <c r="HS42" s="816"/>
      <c r="HT42" s="816"/>
      <c r="HU42" s="816"/>
      <c r="HV42" s="816"/>
      <c r="HW42" s="816"/>
      <c r="HX42" s="816"/>
      <c r="HY42" s="816"/>
      <c r="HZ42" s="816"/>
      <c r="IA42" s="816"/>
      <c r="IB42" s="816"/>
      <c r="IC42" s="816"/>
      <c r="ID42" s="816"/>
      <c r="IE42" s="816"/>
      <c r="IF42" s="816"/>
      <c r="IG42" s="816"/>
      <c r="IH42" s="816"/>
      <c r="II42" s="816"/>
      <c r="IJ42" s="816"/>
      <c r="IK42" s="816"/>
      <c r="IL42" s="816"/>
      <c r="IM42" s="816"/>
      <c r="IN42" s="816"/>
      <c r="IO42" s="816"/>
      <c r="IP42" s="816"/>
      <c r="IQ42" s="816"/>
      <c r="IR42" s="816"/>
      <c r="IS42" s="816"/>
      <c r="IT42" s="816"/>
      <c r="IU42" s="816"/>
      <c r="IV42" s="816"/>
    </row>
    <row r="43" spans="1:256" ht="38.5">
      <c r="A43" s="826" t="s">
        <v>308</v>
      </c>
      <c r="B43" s="827" t="s">
        <v>510</v>
      </c>
      <c r="C43" s="827" t="s">
        <v>511</v>
      </c>
      <c r="D43" s="827" t="s">
        <v>519</v>
      </c>
      <c r="E43" s="827" t="s">
        <v>520</v>
      </c>
      <c r="F43" s="827" t="s">
        <v>521</v>
      </c>
      <c r="G43" s="827" t="s">
        <v>522</v>
      </c>
      <c r="H43" s="827" t="s">
        <v>512</v>
      </c>
      <c r="I43" s="827" t="s">
        <v>523</v>
      </c>
      <c r="J43" s="816"/>
      <c r="K43" s="828"/>
      <c r="L43" s="828"/>
      <c r="M43" s="828"/>
      <c r="N43" s="828"/>
      <c r="O43" s="828"/>
      <c r="P43" s="828"/>
      <c r="Q43" s="828"/>
      <c r="R43" s="828"/>
      <c r="S43" s="828"/>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828"/>
      <c r="BF43" s="828"/>
      <c r="BG43" s="828"/>
      <c r="BH43" s="828"/>
      <c r="BI43" s="828"/>
      <c r="BJ43" s="828"/>
      <c r="BK43" s="828"/>
      <c r="BL43" s="828"/>
      <c r="BM43" s="828"/>
      <c r="BN43" s="828"/>
      <c r="BO43" s="828"/>
      <c r="BP43" s="828"/>
      <c r="BQ43" s="828"/>
      <c r="BR43" s="828"/>
      <c r="BS43" s="828"/>
      <c r="BT43" s="828"/>
      <c r="BU43" s="828"/>
      <c r="BV43" s="828"/>
      <c r="BW43" s="828"/>
      <c r="BX43" s="828"/>
      <c r="BY43" s="828"/>
      <c r="BZ43" s="828"/>
      <c r="CA43" s="828"/>
      <c r="CB43" s="828"/>
      <c r="CC43" s="828"/>
      <c r="CD43" s="828"/>
      <c r="CE43" s="828"/>
      <c r="CF43" s="828"/>
      <c r="CG43" s="828"/>
      <c r="CH43" s="828"/>
      <c r="CI43" s="828"/>
      <c r="CJ43" s="828"/>
      <c r="CK43" s="828"/>
      <c r="CL43" s="828"/>
      <c r="CM43" s="828"/>
      <c r="CN43" s="828"/>
      <c r="CO43" s="828"/>
      <c r="CP43" s="828"/>
      <c r="CQ43" s="828"/>
      <c r="CR43" s="828"/>
      <c r="CS43" s="828"/>
      <c r="CT43" s="828"/>
      <c r="CU43" s="828"/>
      <c r="CV43" s="828"/>
      <c r="CW43" s="828"/>
      <c r="CX43" s="828"/>
      <c r="CY43" s="828"/>
      <c r="CZ43" s="828"/>
      <c r="DA43" s="828"/>
      <c r="DB43" s="828"/>
      <c r="DC43" s="828"/>
      <c r="DD43" s="828"/>
      <c r="DE43" s="828"/>
      <c r="DF43" s="828"/>
      <c r="DG43" s="828"/>
      <c r="DH43" s="828"/>
      <c r="DI43" s="828"/>
      <c r="DJ43" s="828"/>
      <c r="DK43" s="828"/>
      <c r="DL43" s="828"/>
      <c r="DM43" s="828"/>
      <c r="DN43" s="828"/>
      <c r="DO43" s="828"/>
      <c r="DP43" s="828"/>
      <c r="DQ43" s="828"/>
      <c r="DR43" s="828"/>
      <c r="DS43" s="828"/>
      <c r="DT43" s="828"/>
      <c r="DU43" s="828"/>
      <c r="DV43" s="828"/>
      <c r="DW43" s="828"/>
      <c r="DX43" s="828"/>
      <c r="DY43" s="828"/>
      <c r="DZ43" s="828"/>
      <c r="EA43" s="828"/>
      <c r="EB43" s="828"/>
      <c r="EC43" s="828"/>
      <c r="ED43" s="828"/>
      <c r="EE43" s="828"/>
      <c r="EF43" s="828"/>
      <c r="EG43" s="828"/>
      <c r="EH43" s="828"/>
      <c r="EI43" s="828"/>
      <c r="EJ43" s="828"/>
      <c r="EK43" s="828"/>
      <c r="EL43" s="828"/>
      <c r="EM43" s="828"/>
      <c r="EN43" s="828"/>
      <c r="EO43" s="828"/>
      <c r="EP43" s="828"/>
      <c r="EQ43" s="828"/>
      <c r="ER43" s="828"/>
      <c r="ES43" s="828"/>
      <c r="ET43" s="828"/>
      <c r="EU43" s="828"/>
      <c r="EV43" s="828"/>
      <c r="EW43" s="828"/>
      <c r="EX43" s="828"/>
      <c r="EY43" s="828"/>
      <c r="EZ43" s="828"/>
      <c r="FA43" s="828"/>
      <c r="FB43" s="828"/>
      <c r="FC43" s="828"/>
      <c r="FD43" s="828"/>
      <c r="FE43" s="828"/>
      <c r="FF43" s="828"/>
      <c r="FG43" s="828"/>
      <c r="FH43" s="828"/>
      <c r="FI43" s="828"/>
      <c r="FJ43" s="828"/>
      <c r="FK43" s="828"/>
      <c r="FL43" s="828"/>
      <c r="FM43" s="828"/>
      <c r="FN43" s="828"/>
      <c r="FO43" s="828"/>
      <c r="FP43" s="828"/>
      <c r="FQ43" s="828"/>
      <c r="FR43" s="828"/>
      <c r="FS43" s="828"/>
      <c r="FT43" s="828"/>
      <c r="FU43" s="828"/>
      <c r="FV43" s="828"/>
      <c r="FW43" s="828"/>
      <c r="FX43" s="828"/>
      <c r="FY43" s="828"/>
      <c r="FZ43" s="828"/>
      <c r="GA43" s="828"/>
      <c r="GB43" s="828"/>
      <c r="GC43" s="828"/>
      <c r="GD43" s="828"/>
      <c r="GE43" s="828"/>
      <c r="GF43" s="828"/>
      <c r="GG43" s="828"/>
      <c r="GH43" s="828"/>
      <c r="GI43" s="828"/>
      <c r="GJ43" s="828"/>
      <c r="GK43" s="828"/>
      <c r="GL43" s="828"/>
      <c r="GM43" s="828"/>
      <c r="GN43" s="828"/>
      <c r="GO43" s="828"/>
      <c r="GP43" s="828"/>
      <c r="GQ43" s="828"/>
      <c r="GR43" s="828"/>
      <c r="GS43" s="828"/>
      <c r="GT43" s="828"/>
      <c r="GU43" s="828"/>
      <c r="GV43" s="828"/>
      <c r="GW43" s="828"/>
      <c r="GX43" s="828"/>
      <c r="GY43" s="828"/>
      <c r="GZ43" s="828"/>
      <c r="HA43" s="828"/>
      <c r="HB43" s="828"/>
      <c r="HC43" s="828"/>
      <c r="HD43" s="828"/>
      <c r="HE43" s="828"/>
      <c r="HF43" s="828"/>
      <c r="HG43" s="828"/>
      <c r="HH43" s="828"/>
      <c r="HI43" s="828"/>
      <c r="HJ43" s="828"/>
      <c r="HK43" s="828"/>
      <c r="HL43" s="828"/>
      <c r="HM43" s="828"/>
      <c r="HN43" s="828"/>
      <c r="HO43" s="828"/>
      <c r="HP43" s="828"/>
      <c r="HQ43" s="828"/>
      <c r="HR43" s="828"/>
      <c r="HS43" s="828"/>
      <c r="HT43" s="828"/>
      <c r="HU43" s="828"/>
      <c r="HV43" s="828"/>
      <c r="HW43" s="828"/>
      <c r="HX43" s="828"/>
      <c r="HY43" s="828"/>
      <c r="HZ43" s="828"/>
      <c r="IA43" s="828"/>
      <c r="IB43" s="828"/>
      <c r="IC43" s="828"/>
      <c r="ID43" s="828"/>
      <c r="IE43" s="828"/>
      <c r="IF43" s="828"/>
      <c r="IG43" s="828"/>
      <c r="IH43" s="828"/>
      <c r="II43" s="828"/>
      <c r="IJ43" s="828"/>
      <c r="IK43" s="828"/>
      <c r="IL43" s="828"/>
      <c r="IM43" s="828"/>
      <c r="IN43" s="828"/>
      <c r="IO43" s="828"/>
      <c r="IP43" s="828"/>
      <c r="IQ43" s="828"/>
      <c r="IR43" s="828"/>
      <c r="IS43" s="828"/>
      <c r="IT43" s="828"/>
      <c r="IU43" s="828"/>
      <c r="IV43" s="828"/>
    </row>
    <row r="44" spans="1:256">
      <c r="A44" s="820">
        <f>+A40+1</f>
        <v>24</v>
      </c>
      <c r="B44" s="817" t="s">
        <v>513</v>
      </c>
      <c r="C44" s="829">
        <f>+H38</f>
        <v>0</v>
      </c>
      <c r="D44" s="829">
        <f>C44</f>
        <v>0</v>
      </c>
      <c r="E44" s="817"/>
      <c r="F44" s="711">
        <v>365</v>
      </c>
      <c r="G44" s="830">
        <f>F44/$F$18</f>
        <v>1</v>
      </c>
      <c r="H44" s="829">
        <f>C44*G44</f>
        <v>0</v>
      </c>
      <c r="I44" s="829">
        <f>H44</f>
        <v>0</v>
      </c>
      <c r="J44" s="816"/>
      <c r="K44" s="816"/>
      <c r="L44" s="816"/>
      <c r="M44" s="816"/>
      <c r="N44" s="816"/>
      <c r="O44" s="816"/>
      <c r="P44" s="816"/>
      <c r="Q44" s="816"/>
      <c r="R44" s="816"/>
      <c r="S44" s="816"/>
      <c r="T44" s="816"/>
      <c r="U44" s="816"/>
      <c r="V44" s="816"/>
      <c r="W44" s="816"/>
      <c r="X44" s="816"/>
      <c r="Y44" s="816"/>
      <c r="Z44" s="816"/>
      <c r="AA44" s="816"/>
      <c r="AB44" s="816"/>
      <c r="AC44" s="816"/>
      <c r="AD44" s="816"/>
      <c r="AE44" s="816"/>
      <c r="AF44" s="816"/>
      <c r="AG44" s="816"/>
      <c r="AH44" s="816"/>
      <c r="AI44" s="816"/>
      <c r="AJ44" s="816"/>
      <c r="AK44" s="816"/>
      <c r="AL44" s="816"/>
      <c r="AM44" s="816"/>
      <c r="AN44" s="816"/>
      <c r="AO44" s="816"/>
      <c r="AP44" s="816"/>
      <c r="AQ44" s="816"/>
      <c r="AR44" s="816"/>
      <c r="AS44" s="816"/>
      <c r="AT44" s="816"/>
      <c r="AU44" s="816"/>
      <c r="AV44" s="816"/>
      <c r="AW44" s="816"/>
      <c r="AX44" s="816"/>
      <c r="AY44" s="816"/>
      <c r="AZ44" s="816"/>
      <c r="BA44" s="816"/>
      <c r="BB44" s="816"/>
      <c r="BC44" s="816"/>
      <c r="BD44" s="816"/>
      <c r="BE44" s="816"/>
      <c r="BF44" s="816"/>
      <c r="BG44" s="816"/>
      <c r="BH44" s="816"/>
      <c r="BI44" s="816"/>
      <c r="BJ44" s="816"/>
      <c r="BK44" s="816"/>
      <c r="BL44" s="816"/>
      <c r="BM44" s="816"/>
      <c r="BN44" s="816"/>
      <c r="BO44" s="816"/>
      <c r="BP44" s="816"/>
      <c r="BQ44" s="816"/>
      <c r="BR44" s="816"/>
      <c r="BS44" s="816"/>
      <c r="BT44" s="816"/>
      <c r="BU44" s="816"/>
      <c r="BV44" s="816"/>
      <c r="BW44" s="816"/>
      <c r="BX44" s="816"/>
      <c r="BY44" s="816"/>
      <c r="BZ44" s="816"/>
      <c r="CA44" s="816"/>
      <c r="CB44" s="816"/>
      <c r="CC44" s="816"/>
      <c r="CD44" s="816"/>
      <c r="CE44" s="816"/>
      <c r="CF44" s="816"/>
      <c r="CG44" s="816"/>
      <c r="CH44" s="816"/>
      <c r="CI44" s="816"/>
      <c r="CJ44" s="816"/>
      <c r="CK44" s="816"/>
      <c r="CL44" s="816"/>
      <c r="CM44" s="816"/>
      <c r="CN44" s="816"/>
      <c r="CO44" s="816"/>
      <c r="CP44" s="816"/>
      <c r="CQ44" s="816"/>
      <c r="CR44" s="816"/>
      <c r="CS44" s="816"/>
      <c r="CT44" s="816"/>
      <c r="CU44" s="816"/>
      <c r="CV44" s="816"/>
      <c r="CW44" s="816"/>
      <c r="CX44" s="816"/>
      <c r="CY44" s="816"/>
      <c r="CZ44" s="816"/>
      <c r="DA44" s="816"/>
      <c r="DB44" s="816"/>
      <c r="DC44" s="816"/>
      <c r="DD44" s="816"/>
      <c r="DE44" s="816"/>
      <c r="DF44" s="816"/>
      <c r="DG44" s="816"/>
      <c r="DH44" s="816"/>
      <c r="DI44" s="816"/>
      <c r="DJ44" s="816"/>
      <c r="DK44" s="816"/>
      <c r="DL44" s="816"/>
      <c r="DM44" s="816"/>
      <c r="DN44" s="816"/>
      <c r="DO44" s="816"/>
      <c r="DP44" s="816"/>
      <c r="DQ44" s="816"/>
      <c r="DR44" s="816"/>
      <c r="DS44" s="816"/>
      <c r="DT44" s="816"/>
      <c r="DU44" s="816"/>
      <c r="DV44" s="816"/>
      <c r="DW44" s="816"/>
      <c r="DX44" s="816"/>
      <c r="DY44" s="816"/>
      <c r="DZ44" s="816"/>
      <c r="EA44" s="816"/>
      <c r="EB44" s="816"/>
      <c r="EC44" s="816"/>
      <c r="ED44" s="816"/>
      <c r="EE44" s="816"/>
      <c r="EF44" s="816"/>
      <c r="EG44" s="816"/>
      <c r="EH44" s="816"/>
      <c r="EI44" s="816"/>
      <c r="EJ44" s="816"/>
      <c r="EK44" s="816"/>
      <c r="EL44" s="816"/>
      <c r="EM44" s="816"/>
      <c r="EN44" s="816"/>
      <c r="EO44" s="816"/>
      <c r="EP44" s="816"/>
      <c r="EQ44" s="816"/>
      <c r="ER44" s="816"/>
      <c r="ES44" s="816"/>
      <c r="ET44" s="816"/>
      <c r="EU44" s="816"/>
      <c r="EV44" s="816"/>
      <c r="EW44" s="816"/>
      <c r="EX44" s="816"/>
      <c r="EY44" s="816"/>
      <c r="EZ44" s="816"/>
      <c r="FA44" s="816"/>
      <c r="FB44" s="816"/>
      <c r="FC44" s="816"/>
      <c r="FD44" s="816"/>
      <c r="FE44" s="816"/>
      <c r="FF44" s="816"/>
      <c r="FG44" s="816"/>
      <c r="FH44" s="816"/>
      <c r="FI44" s="816"/>
      <c r="FJ44" s="816"/>
      <c r="FK44" s="816"/>
      <c r="FL44" s="816"/>
      <c r="FM44" s="816"/>
      <c r="FN44" s="816"/>
      <c r="FO44" s="816"/>
      <c r="FP44" s="816"/>
      <c r="FQ44" s="816"/>
      <c r="FR44" s="816"/>
      <c r="FS44" s="816"/>
      <c r="FT44" s="816"/>
      <c r="FU44" s="816"/>
      <c r="FV44" s="816"/>
      <c r="FW44" s="816"/>
      <c r="FX44" s="816"/>
      <c r="FY44" s="816"/>
      <c r="FZ44" s="816"/>
      <c r="GA44" s="816"/>
      <c r="GB44" s="816"/>
      <c r="GC44" s="816"/>
      <c r="GD44" s="816"/>
      <c r="GE44" s="816"/>
      <c r="GF44" s="816"/>
      <c r="GG44" s="816"/>
      <c r="GH44" s="816"/>
      <c r="GI44" s="816"/>
      <c r="GJ44" s="816"/>
      <c r="GK44" s="816"/>
      <c r="GL44" s="816"/>
      <c r="GM44" s="816"/>
      <c r="GN44" s="816"/>
      <c r="GO44" s="816"/>
      <c r="GP44" s="816"/>
      <c r="GQ44" s="816"/>
      <c r="GR44" s="816"/>
      <c r="GS44" s="816"/>
      <c r="GT44" s="816"/>
      <c r="GU44" s="816"/>
      <c r="GV44" s="816"/>
      <c r="GW44" s="816"/>
      <c r="GX44" s="816"/>
      <c r="GY44" s="816"/>
      <c r="GZ44" s="816"/>
      <c r="HA44" s="816"/>
      <c r="HB44" s="816"/>
      <c r="HC44" s="816"/>
      <c r="HD44" s="816"/>
      <c r="HE44" s="816"/>
      <c r="HF44" s="816"/>
      <c r="HG44" s="816"/>
      <c r="HH44" s="816"/>
      <c r="HI44" s="816"/>
      <c r="HJ44" s="816"/>
      <c r="HK44" s="816"/>
      <c r="HL44" s="816"/>
      <c r="HM44" s="816"/>
      <c r="HN44" s="816"/>
      <c r="HO44" s="816"/>
      <c r="HP44" s="816"/>
      <c r="HQ44" s="816"/>
      <c r="HR44" s="816"/>
      <c r="HS44" s="816"/>
      <c r="HT44" s="816"/>
      <c r="HU44" s="816"/>
      <c r="HV44" s="816"/>
      <c r="HW44" s="816"/>
      <c r="HX44" s="816"/>
      <c r="HY44" s="816"/>
      <c r="HZ44" s="816"/>
      <c r="IA44" s="816"/>
      <c r="IB44" s="816"/>
      <c r="IC44" s="816"/>
      <c r="ID44" s="816"/>
      <c r="IE44" s="816"/>
      <c r="IF44" s="816"/>
      <c r="IG44" s="816"/>
      <c r="IH44" s="816"/>
      <c r="II44" s="816"/>
      <c r="IJ44" s="816"/>
      <c r="IK44" s="816"/>
      <c r="IL44" s="816"/>
      <c r="IM44" s="816"/>
      <c r="IN44" s="816"/>
      <c r="IO44" s="816"/>
      <c r="IP44" s="816"/>
      <c r="IQ44" s="816"/>
      <c r="IR44" s="816"/>
      <c r="IS44" s="816"/>
      <c r="IT44" s="816"/>
      <c r="IU44" s="816"/>
      <c r="IV44" s="816"/>
    </row>
    <row r="45" spans="1:256">
      <c r="A45" s="820">
        <f>+A44+1</f>
        <v>25</v>
      </c>
      <c r="B45" s="817" t="s">
        <v>514</v>
      </c>
      <c r="C45" s="829">
        <f>+$H$40</f>
        <v>0</v>
      </c>
      <c r="D45" s="829">
        <f>D44+C45</f>
        <v>0</v>
      </c>
      <c r="E45" s="817">
        <v>31</v>
      </c>
      <c r="F45" s="711">
        <v>335</v>
      </c>
      <c r="G45" s="830">
        <f t="shared" ref="G45:G56" si="6">F45/$F$18</f>
        <v>0.9178082191780822</v>
      </c>
      <c r="H45" s="829">
        <f t="shared" ref="H45:H56" si="7">C45*G45</f>
        <v>0</v>
      </c>
      <c r="I45" s="829">
        <f t="shared" ref="I45:I50" si="8">I44+H45</f>
        <v>0</v>
      </c>
      <c r="J45" s="816"/>
      <c r="K45" s="816"/>
      <c r="L45" s="816"/>
      <c r="M45" s="816"/>
      <c r="N45" s="816"/>
      <c r="O45" s="816"/>
      <c r="P45" s="816"/>
      <c r="Q45" s="816"/>
      <c r="R45" s="816"/>
      <c r="S45" s="816"/>
      <c r="T45" s="816"/>
      <c r="U45" s="816"/>
      <c r="V45" s="816"/>
      <c r="W45" s="816"/>
      <c r="X45" s="816"/>
      <c r="Y45" s="816"/>
      <c r="Z45" s="816"/>
      <c r="AA45" s="816"/>
      <c r="AB45" s="816"/>
      <c r="AC45" s="816"/>
      <c r="AD45" s="816"/>
      <c r="AE45" s="816"/>
      <c r="AF45" s="816"/>
      <c r="AG45" s="816"/>
      <c r="AH45" s="816"/>
      <c r="AI45" s="816"/>
      <c r="AJ45" s="816"/>
      <c r="AK45" s="816"/>
      <c r="AL45" s="816"/>
      <c r="AM45" s="816"/>
      <c r="AN45" s="816"/>
      <c r="AO45" s="816"/>
      <c r="AP45" s="816"/>
      <c r="AQ45" s="816"/>
      <c r="AR45" s="816"/>
      <c r="AS45" s="816"/>
      <c r="AT45" s="816"/>
      <c r="AU45" s="816"/>
      <c r="AV45" s="816"/>
      <c r="AW45" s="816"/>
      <c r="AX45" s="816"/>
      <c r="AY45" s="816"/>
      <c r="AZ45" s="816"/>
      <c r="BA45" s="816"/>
      <c r="BB45" s="816"/>
      <c r="BC45" s="816"/>
      <c r="BD45" s="816"/>
      <c r="BE45" s="816"/>
      <c r="BF45" s="816"/>
      <c r="BG45" s="816"/>
      <c r="BH45" s="816"/>
      <c r="BI45" s="816"/>
      <c r="BJ45" s="816"/>
      <c r="BK45" s="816"/>
      <c r="BL45" s="816"/>
      <c r="BM45" s="816"/>
      <c r="BN45" s="816"/>
      <c r="BO45" s="816"/>
      <c r="BP45" s="816"/>
      <c r="BQ45" s="816"/>
      <c r="BR45" s="816"/>
      <c r="BS45" s="816"/>
      <c r="BT45" s="816"/>
      <c r="BU45" s="816"/>
      <c r="BV45" s="816"/>
      <c r="BW45" s="816"/>
      <c r="BX45" s="816"/>
      <c r="BY45" s="816"/>
      <c r="BZ45" s="816"/>
      <c r="CA45" s="816"/>
      <c r="CB45" s="816"/>
      <c r="CC45" s="816"/>
      <c r="CD45" s="816"/>
      <c r="CE45" s="816"/>
      <c r="CF45" s="816"/>
      <c r="CG45" s="816"/>
      <c r="CH45" s="816"/>
      <c r="CI45" s="816"/>
      <c r="CJ45" s="816"/>
      <c r="CK45" s="816"/>
      <c r="CL45" s="816"/>
      <c r="CM45" s="816"/>
      <c r="CN45" s="816"/>
      <c r="CO45" s="816"/>
      <c r="CP45" s="816"/>
      <c r="CQ45" s="816"/>
      <c r="CR45" s="816"/>
      <c r="CS45" s="816"/>
      <c r="CT45" s="816"/>
      <c r="CU45" s="816"/>
      <c r="CV45" s="816"/>
      <c r="CW45" s="816"/>
      <c r="CX45" s="816"/>
      <c r="CY45" s="816"/>
      <c r="CZ45" s="816"/>
      <c r="DA45" s="816"/>
      <c r="DB45" s="816"/>
      <c r="DC45" s="816"/>
      <c r="DD45" s="816"/>
      <c r="DE45" s="816"/>
      <c r="DF45" s="816"/>
      <c r="DG45" s="816"/>
      <c r="DH45" s="816"/>
      <c r="DI45" s="816"/>
      <c r="DJ45" s="816"/>
      <c r="DK45" s="816"/>
      <c r="DL45" s="816"/>
      <c r="DM45" s="816"/>
      <c r="DN45" s="816"/>
      <c r="DO45" s="816"/>
      <c r="DP45" s="816"/>
      <c r="DQ45" s="816"/>
      <c r="DR45" s="816"/>
      <c r="DS45" s="816"/>
      <c r="DT45" s="816"/>
      <c r="DU45" s="816"/>
      <c r="DV45" s="816"/>
      <c r="DW45" s="816"/>
      <c r="DX45" s="816"/>
      <c r="DY45" s="816"/>
      <c r="DZ45" s="816"/>
      <c r="EA45" s="816"/>
      <c r="EB45" s="816"/>
      <c r="EC45" s="816"/>
      <c r="ED45" s="816"/>
      <c r="EE45" s="816"/>
      <c r="EF45" s="816"/>
      <c r="EG45" s="816"/>
      <c r="EH45" s="816"/>
      <c r="EI45" s="816"/>
      <c r="EJ45" s="816"/>
      <c r="EK45" s="816"/>
      <c r="EL45" s="816"/>
      <c r="EM45" s="816"/>
      <c r="EN45" s="816"/>
      <c r="EO45" s="816"/>
      <c r="EP45" s="816"/>
      <c r="EQ45" s="816"/>
      <c r="ER45" s="816"/>
      <c r="ES45" s="816"/>
      <c r="ET45" s="816"/>
      <c r="EU45" s="816"/>
      <c r="EV45" s="816"/>
      <c r="EW45" s="816"/>
      <c r="EX45" s="816"/>
      <c r="EY45" s="816"/>
      <c r="EZ45" s="816"/>
      <c r="FA45" s="816"/>
      <c r="FB45" s="816"/>
      <c r="FC45" s="816"/>
      <c r="FD45" s="816"/>
      <c r="FE45" s="816"/>
      <c r="FF45" s="816"/>
      <c r="FG45" s="816"/>
      <c r="FH45" s="816"/>
      <c r="FI45" s="816"/>
      <c r="FJ45" s="816"/>
      <c r="FK45" s="816"/>
      <c r="FL45" s="816"/>
      <c r="FM45" s="816"/>
      <c r="FN45" s="816"/>
      <c r="FO45" s="816"/>
      <c r="FP45" s="816"/>
      <c r="FQ45" s="816"/>
      <c r="FR45" s="816"/>
      <c r="FS45" s="816"/>
      <c r="FT45" s="816"/>
      <c r="FU45" s="816"/>
      <c r="FV45" s="816"/>
      <c r="FW45" s="816"/>
      <c r="FX45" s="816"/>
      <c r="FY45" s="816"/>
      <c r="FZ45" s="816"/>
      <c r="GA45" s="816"/>
      <c r="GB45" s="816"/>
      <c r="GC45" s="816"/>
      <c r="GD45" s="816"/>
      <c r="GE45" s="816"/>
      <c r="GF45" s="816"/>
      <c r="GG45" s="816"/>
      <c r="GH45" s="816"/>
      <c r="GI45" s="816"/>
      <c r="GJ45" s="816"/>
      <c r="GK45" s="816"/>
      <c r="GL45" s="816"/>
      <c r="GM45" s="816"/>
      <c r="GN45" s="816"/>
      <c r="GO45" s="816"/>
      <c r="GP45" s="816"/>
      <c r="GQ45" s="816"/>
      <c r="GR45" s="816"/>
      <c r="GS45" s="816"/>
      <c r="GT45" s="816"/>
      <c r="GU45" s="816"/>
      <c r="GV45" s="816"/>
      <c r="GW45" s="816"/>
      <c r="GX45" s="816"/>
      <c r="GY45" s="816"/>
      <c r="GZ45" s="816"/>
      <c r="HA45" s="816"/>
      <c r="HB45" s="816"/>
      <c r="HC45" s="816"/>
      <c r="HD45" s="816"/>
      <c r="HE45" s="816"/>
      <c r="HF45" s="816"/>
      <c r="HG45" s="816"/>
      <c r="HH45" s="816"/>
      <c r="HI45" s="816"/>
      <c r="HJ45" s="816"/>
      <c r="HK45" s="816"/>
      <c r="HL45" s="816"/>
      <c r="HM45" s="816"/>
      <c r="HN45" s="816"/>
      <c r="HO45" s="816"/>
      <c r="HP45" s="816"/>
      <c r="HQ45" s="816"/>
      <c r="HR45" s="816"/>
      <c r="HS45" s="816"/>
      <c r="HT45" s="816"/>
      <c r="HU45" s="816"/>
      <c r="HV45" s="816"/>
      <c r="HW45" s="816"/>
      <c r="HX45" s="816"/>
      <c r="HY45" s="816"/>
      <c r="HZ45" s="816"/>
      <c r="IA45" s="816"/>
      <c r="IB45" s="816"/>
      <c r="IC45" s="816"/>
      <c r="ID45" s="816"/>
      <c r="IE45" s="816"/>
      <c r="IF45" s="816"/>
      <c r="IG45" s="816"/>
      <c r="IH45" s="816"/>
      <c r="II45" s="816"/>
      <c r="IJ45" s="816"/>
      <c r="IK45" s="816"/>
      <c r="IL45" s="816"/>
      <c r="IM45" s="816"/>
      <c r="IN45" s="816"/>
      <c r="IO45" s="816"/>
      <c r="IP45" s="816"/>
      <c r="IQ45" s="816"/>
      <c r="IR45" s="816"/>
      <c r="IS45" s="816"/>
      <c r="IT45" s="816"/>
      <c r="IU45" s="816"/>
      <c r="IV45" s="816"/>
    </row>
    <row r="46" spans="1:256">
      <c r="A46" s="820">
        <f t="shared" ref="A46:A56" si="9">+A45+1</f>
        <v>26</v>
      </c>
      <c r="B46" s="817" t="s">
        <v>515</v>
      </c>
      <c r="C46" s="829">
        <f t="shared" ref="C46:C56" si="10">+$H$40</f>
        <v>0</v>
      </c>
      <c r="D46" s="829">
        <f>D45+C46</f>
        <v>0</v>
      </c>
      <c r="E46" s="711">
        <v>28</v>
      </c>
      <c r="F46" s="711">
        <v>307</v>
      </c>
      <c r="G46" s="830">
        <f t="shared" si="6"/>
        <v>0.84109589041095889</v>
      </c>
      <c r="H46" s="829">
        <f t="shared" si="7"/>
        <v>0</v>
      </c>
      <c r="I46" s="829">
        <f t="shared" si="8"/>
        <v>0</v>
      </c>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c r="AJ46" s="816"/>
      <c r="AK46" s="816"/>
      <c r="AL46" s="816"/>
      <c r="AM46" s="816"/>
      <c r="AN46" s="816"/>
      <c r="AO46" s="816"/>
      <c r="AP46" s="816"/>
      <c r="AQ46" s="816"/>
      <c r="AR46" s="816"/>
      <c r="AS46" s="816"/>
      <c r="AT46" s="816"/>
      <c r="AU46" s="816"/>
      <c r="AV46" s="816"/>
      <c r="AW46" s="816"/>
      <c r="AX46" s="816"/>
      <c r="AY46" s="816"/>
      <c r="AZ46" s="816"/>
      <c r="BA46" s="816"/>
      <c r="BB46" s="816"/>
      <c r="BC46" s="816"/>
      <c r="BD46" s="816"/>
      <c r="BE46" s="816"/>
      <c r="BF46" s="816"/>
      <c r="BG46" s="816"/>
      <c r="BH46" s="816"/>
      <c r="BI46" s="816"/>
      <c r="BJ46" s="816"/>
      <c r="BK46" s="816"/>
      <c r="BL46" s="816"/>
      <c r="BM46" s="816"/>
      <c r="BN46" s="816"/>
      <c r="BO46" s="816"/>
      <c r="BP46" s="816"/>
      <c r="BQ46" s="816"/>
      <c r="BR46" s="816"/>
      <c r="BS46" s="816"/>
      <c r="BT46" s="816"/>
      <c r="BU46" s="816"/>
      <c r="BV46" s="816"/>
      <c r="BW46" s="816"/>
      <c r="BX46" s="816"/>
      <c r="BY46" s="816"/>
      <c r="BZ46" s="816"/>
      <c r="CA46" s="816"/>
      <c r="CB46" s="816"/>
      <c r="CC46" s="816"/>
      <c r="CD46" s="816"/>
      <c r="CE46" s="816"/>
      <c r="CF46" s="816"/>
      <c r="CG46" s="816"/>
      <c r="CH46" s="816"/>
      <c r="CI46" s="816"/>
      <c r="CJ46" s="816"/>
      <c r="CK46" s="816"/>
      <c r="CL46" s="816"/>
      <c r="CM46" s="816"/>
      <c r="CN46" s="816"/>
      <c r="CO46" s="816"/>
      <c r="CP46" s="816"/>
      <c r="CQ46" s="816"/>
      <c r="CR46" s="816"/>
      <c r="CS46" s="816"/>
      <c r="CT46" s="816"/>
      <c r="CU46" s="816"/>
      <c r="CV46" s="816"/>
      <c r="CW46" s="816"/>
      <c r="CX46" s="816"/>
      <c r="CY46" s="816"/>
      <c r="CZ46" s="816"/>
      <c r="DA46" s="816"/>
      <c r="DB46" s="816"/>
      <c r="DC46" s="816"/>
      <c r="DD46" s="816"/>
      <c r="DE46" s="816"/>
      <c r="DF46" s="816"/>
      <c r="DG46" s="816"/>
      <c r="DH46" s="816"/>
      <c r="DI46" s="816"/>
      <c r="DJ46" s="816"/>
      <c r="DK46" s="816"/>
      <c r="DL46" s="816"/>
      <c r="DM46" s="816"/>
      <c r="DN46" s="816"/>
      <c r="DO46" s="816"/>
      <c r="DP46" s="816"/>
      <c r="DQ46" s="816"/>
      <c r="DR46" s="816"/>
      <c r="DS46" s="816"/>
      <c r="DT46" s="816"/>
      <c r="DU46" s="816"/>
      <c r="DV46" s="816"/>
      <c r="DW46" s="816"/>
      <c r="DX46" s="816"/>
      <c r="DY46" s="816"/>
      <c r="DZ46" s="816"/>
      <c r="EA46" s="816"/>
      <c r="EB46" s="816"/>
      <c r="EC46" s="816"/>
      <c r="ED46" s="816"/>
      <c r="EE46" s="816"/>
      <c r="EF46" s="816"/>
      <c r="EG46" s="816"/>
      <c r="EH46" s="816"/>
      <c r="EI46" s="816"/>
      <c r="EJ46" s="816"/>
      <c r="EK46" s="816"/>
      <c r="EL46" s="816"/>
      <c r="EM46" s="816"/>
      <c r="EN46" s="816"/>
      <c r="EO46" s="816"/>
      <c r="EP46" s="816"/>
      <c r="EQ46" s="816"/>
      <c r="ER46" s="816"/>
      <c r="ES46" s="816"/>
      <c r="ET46" s="816"/>
      <c r="EU46" s="816"/>
      <c r="EV46" s="816"/>
      <c r="EW46" s="816"/>
      <c r="EX46" s="816"/>
      <c r="EY46" s="816"/>
      <c r="EZ46" s="816"/>
      <c r="FA46" s="816"/>
      <c r="FB46" s="816"/>
      <c r="FC46" s="816"/>
      <c r="FD46" s="816"/>
      <c r="FE46" s="816"/>
      <c r="FF46" s="816"/>
      <c r="FG46" s="816"/>
      <c r="FH46" s="816"/>
      <c r="FI46" s="816"/>
      <c r="FJ46" s="816"/>
      <c r="FK46" s="816"/>
      <c r="FL46" s="816"/>
      <c r="FM46" s="816"/>
      <c r="FN46" s="816"/>
      <c r="FO46" s="816"/>
      <c r="FP46" s="816"/>
      <c r="FQ46" s="816"/>
      <c r="FR46" s="816"/>
      <c r="FS46" s="816"/>
      <c r="FT46" s="816"/>
      <c r="FU46" s="816"/>
      <c r="FV46" s="816"/>
      <c r="FW46" s="816"/>
      <c r="FX46" s="816"/>
      <c r="FY46" s="816"/>
      <c r="FZ46" s="816"/>
      <c r="GA46" s="816"/>
      <c r="GB46" s="816"/>
      <c r="GC46" s="816"/>
      <c r="GD46" s="816"/>
      <c r="GE46" s="816"/>
      <c r="GF46" s="816"/>
      <c r="GG46" s="816"/>
      <c r="GH46" s="816"/>
      <c r="GI46" s="816"/>
      <c r="GJ46" s="816"/>
      <c r="GK46" s="816"/>
      <c r="GL46" s="816"/>
      <c r="GM46" s="816"/>
      <c r="GN46" s="816"/>
      <c r="GO46" s="816"/>
      <c r="GP46" s="816"/>
      <c r="GQ46" s="816"/>
      <c r="GR46" s="816"/>
      <c r="GS46" s="816"/>
      <c r="GT46" s="816"/>
      <c r="GU46" s="816"/>
      <c r="GV46" s="816"/>
      <c r="GW46" s="816"/>
      <c r="GX46" s="816"/>
      <c r="GY46" s="816"/>
      <c r="GZ46" s="816"/>
      <c r="HA46" s="816"/>
      <c r="HB46" s="816"/>
      <c r="HC46" s="816"/>
      <c r="HD46" s="816"/>
      <c r="HE46" s="816"/>
      <c r="HF46" s="816"/>
      <c r="HG46" s="816"/>
      <c r="HH46" s="816"/>
      <c r="HI46" s="816"/>
      <c r="HJ46" s="816"/>
      <c r="HK46" s="816"/>
      <c r="HL46" s="816"/>
      <c r="HM46" s="816"/>
      <c r="HN46" s="816"/>
      <c r="HO46" s="816"/>
      <c r="HP46" s="816"/>
      <c r="HQ46" s="816"/>
      <c r="HR46" s="816"/>
      <c r="HS46" s="816"/>
      <c r="HT46" s="816"/>
      <c r="HU46" s="816"/>
      <c r="HV46" s="816"/>
      <c r="HW46" s="816"/>
      <c r="HX46" s="816"/>
      <c r="HY46" s="816"/>
      <c r="HZ46" s="816"/>
      <c r="IA46" s="816"/>
      <c r="IB46" s="816"/>
      <c r="IC46" s="816"/>
      <c r="ID46" s="816"/>
      <c r="IE46" s="816"/>
      <c r="IF46" s="816"/>
      <c r="IG46" s="816"/>
      <c r="IH46" s="816"/>
      <c r="II46" s="816"/>
      <c r="IJ46" s="816"/>
      <c r="IK46" s="816"/>
      <c r="IL46" s="816"/>
      <c r="IM46" s="816"/>
      <c r="IN46" s="816"/>
      <c r="IO46" s="816"/>
      <c r="IP46" s="816"/>
      <c r="IQ46" s="816"/>
      <c r="IR46" s="816"/>
      <c r="IS46" s="816"/>
      <c r="IT46" s="816"/>
      <c r="IU46" s="816"/>
      <c r="IV46" s="816"/>
    </row>
    <row r="47" spans="1:256">
      <c r="A47" s="820">
        <f t="shared" si="9"/>
        <v>27</v>
      </c>
      <c r="B47" s="817" t="s">
        <v>323</v>
      </c>
      <c r="C47" s="829">
        <f t="shared" si="10"/>
        <v>0</v>
      </c>
      <c r="D47" s="829">
        <f>D46+C47</f>
        <v>0</v>
      </c>
      <c r="E47" s="817">
        <v>31</v>
      </c>
      <c r="F47" s="711">
        <v>276</v>
      </c>
      <c r="G47" s="830">
        <f t="shared" si="6"/>
        <v>0.75616438356164384</v>
      </c>
      <c r="H47" s="829">
        <f t="shared" si="7"/>
        <v>0</v>
      </c>
      <c r="I47" s="829">
        <f t="shared" si="8"/>
        <v>0</v>
      </c>
      <c r="J47" s="816"/>
      <c r="K47" s="816"/>
      <c r="L47" s="816"/>
      <c r="M47" s="816"/>
      <c r="N47" s="816"/>
      <c r="O47" s="816"/>
      <c r="P47" s="816"/>
      <c r="Q47" s="816"/>
      <c r="R47" s="816"/>
      <c r="S47" s="816"/>
      <c r="T47" s="816"/>
      <c r="U47" s="816"/>
      <c r="V47" s="816"/>
      <c r="W47" s="816"/>
      <c r="X47" s="816"/>
      <c r="Y47" s="816"/>
      <c r="Z47" s="816"/>
      <c r="AA47" s="816"/>
      <c r="AB47" s="816"/>
      <c r="AC47" s="816"/>
      <c r="AD47" s="816"/>
      <c r="AE47" s="816"/>
      <c r="AF47" s="816"/>
      <c r="AG47" s="816"/>
      <c r="AH47" s="816"/>
      <c r="AI47" s="816"/>
      <c r="AJ47" s="816"/>
      <c r="AK47" s="816"/>
      <c r="AL47" s="816"/>
      <c r="AM47" s="816"/>
      <c r="AN47" s="816"/>
      <c r="AO47" s="816"/>
      <c r="AP47" s="816"/>
      <c r="AQ47" s="816"/>
      <c r="AR47" s="816"/>
      <c r="AS47" s="816"/>
      <c r="AT47" s="816"/>
      <c r="AU47" s="816"/>
      <c r="AV47" s="816"/>
      <c r="AW47" s="816"/>
      <c r="AX47" s="816"/>
      <c r="AY47" s="816"/>
      <c r="AZ47" s="816"/>
      <c r="BA47" s="816"/>
      <c r="BB47" s="816"/>
      <c r="BC47" s="816"/>
      <c r="BD47" s="816"/>
      <c r="BE47" s="816"/>
      <c r="BF47" s="816"/>
      <c r="BG47" s="816"/>
      <c r="BH47" s="816"/>
      <c r="BI47" s="816"/>
      <c r="BJ47" s="816"/>
      <c r="BK47" s="816"/>
      <c r="BL47" s="816"/>
      <c r="BM47" s="816"/>
      <c r="BN47" s="816"/>
      <c r="BO47" s="816"/>
      <c r="BP47" s="816"/>
      <c r="BQ47" s="816"/>
      <c r="BR47" s="816"/>
      <c r="BS47" s="816"/>
      <c r="BT47" s="816"/>
      <c r="BU47" s="816"/>
      <c r="BV47" s="816"/>
      <c r="BW47" s="816"/>
      <c r="BX47" s="816"/>
      <c r="BY47" s="816"/>
      <c r="BZ47" s="816"/>
      <c r="CA47" s="816"/>
      <c r="CB47" s="816"/>
      <c r="CC47" s="816"/>
      <c r="CD47" s="816"/>
      <c r="CE47" s="816"/>
      <c r="CF47" s="816"/>
      <c r="CG47" s="816"/>
      <c r="CH47" s="816"/>
      <c r="CI47" s="816"/>
      <c r="CJ47" s="816"/>
      <c r="CK47" s="816"/>
      <c r="CL47" s="816"/>
      <c r="CM47" s="816"/>
      <c r="CN47" s="816"/>
      <c r="CO47" s="816"/>
      <c r="CP47" s="816"/>
      <c r="CQ47" s="816"/>
      <c r="CR47" s="816"/>
      <c r="CS47" s="816"/>
      <c r="CT47" s="816"/>
      <c r="CU47" s="816"/>
      <c r="CV47" s="816"/>
      <c r="CW47" s="816"/>
      <c r="CX47" s="816"/>
      <c r="CY47" s="816"/>
      <c r="CZ47" s="816"/>
      <c r="DA47" s="816"/>
      <c r="DB47" s="816"/>
      <c r="DC47" s="816"/>
      <c r="DD47" s="816"/>
      <c r="DE47" s="816"/>
      <c r="DF47" s="816"/>
      <c r="DG47" s="816"/>
      <c r="DH47" s="816"/>
      <c r="DI47" s="816"/>
      <c r="DJ47" s="816"/>
      <c r="DK47" s="816"/>
      <c r="DL47" s="816"/>
      <c r="DM47" s="816"/>
      <c r="DN47" s="816"/>
      <c r="DO47" s="816"/>
      <c r="DP47" s="816"/>
      <c r="DQ47" s="816"/>
      <c r="DR47" s="816"/>
      <c r="DS47" s="816"/>
      <c r="DT47" s="816"/>
      <c r="DU47" s="816"/>
      <c r="DV47" s="816"/>
      <c r="DW47" s="816"/>
      <c r="DX47" s="816"/>
      <c r="DY47" s="816"/>
      <c r="DZ47" s="816"/>
      <c r="EA47" s="816"/>
      <c r="EB47" s="816"/>
      <c r="EC47" s="816"/>
      <c r="ED47" s="816"/>
      <c r="EE47" s="816"/>
      <c r="EF47" s="816"/>
      <c r="EG47" s="816"/>
      <c r="EH47" s="816"/>
      <c r="EI47" s="816"/>
      <c r="EJ47" s="816"/>
      <c r="EK47" s="816"/>
      <c r="EL47" s="816"/>
      <c r="EM47" s="816"/>
      <c r="EN47" s="816"/>
      <c r="EO47" s="816"/>
      <c r="EP47" s="816"/>
      <c r="EQ47" s="816"/>
      <c r="ER47" s="816"/>
      <c r="ES47" s="816"/>
      <c r="ET47" s="816"/>
      <c r="EU47" s="816"/>
      <c r="EV47" s="816"/>
      <c r="EW47" s="816"/>
      <c r="EX47" s="816"/>
      <c r="EY47" s="816"/>
      <c r="EZ47" s="816"/>
      <c r="FA47" s="816"/>
      <c r="FB47" s="816"/>
      <c r="FC47" s="816"/>
      <c r="FD47" s="816"/>
      <c r="FE47" s="816"/>
      <c r="FF47" s="816"/>
      <c r="FG47" s="816"/>
      <c r="FH47" s="816"/>
      <c r="FI47" s="816"/>
      <c r="FJ47" s="816"/>
      <c r="FK47" s="816"/>
      <c r="FL47" s="816"/>
      <c r="FM47" s="816"/>
      <c r="FN47" s="816"/>
      <c r="FO47" s="816"/>
      <c r="FP47" s="816"/>
      <c r="FQ47" s="816"/>
      <c r="FR47" s="816"/>
      <c r="FS47" s="816"/>
      <c r="FT47" s="816"/>
      <c r="FU47" s="816"/>
      <c r="FV47" s="816"/>
      <c r="FW47" s="816"/>
      <c r="FX47" s="816"/>
      <c r="FY47" s="816"/>
      <c r="FZ47" s="816"/>
      <c r="GA47" s="816"/>
      <c r="GB47" s="816"/>
      <c r="GC47" s="816"/>
      <c r="GD47" s="816"/>
      <c r="GE47" s="816"/>
      <c r="GF47" s="816"/>
      <c r="GG47" s="816"/>
      <c r="GH47" s="816"/>
      <c r="GI47" s="816"/>
      <c r="GJ47" s="816"/>
      <c r="GK47" s="816"/>
      <c r="GL47" s="816"/>
      <c r="GM47" s="816"/>
      <c r="GN47" s="816"/>
      <c r="GO47" s="816"/>
      <c r="GP47" s="816"/>
      <c r="GQ47" s="816"/>
      <c r="GR47" s="816"/>
      <c r="GS47" s="816"/>
      <c r="GT47" s="816"/>
      <c r="GU47" s="816"/>
      <c r="GV47" s="816"/>
      <c r="GW47" s="816"/>
      <c r="GX47" s="816"/>
      <c r="GY47" s="816"/>
      <c r="GZ47" s="816"/>
      <c r="HA47" s="816"/>
      <c r="HB47" s="816"/>
      <c r="HC47" s="816"/>
      <c r="HD47" s="816"/>
      <c r="HE47" s="816"/>
      <c r="HF47" s="816"/>
      <c r="HG47" s="816"/>
      <c r="HH47" s="816"/>
      <c r="HI47" s="816"/>
      <c r="HJ47" s="816"/>
      <c r="HK47" s="816"/>
      <c r="HL47" s="816"/>
      <c r="HM47" s="816"/>
      <c r="HN47" s="816"/>
      <c r="HO47" s="816"/>
      <c r="HP47" s="816"/>
      <c r="HQ47" s="816"/>
      <c r="HR47" s="816"/>
      <c r="HS47" s="816"/>
      <c r="HT47" s="816"/>
      <c r="HU47" s="816"/>
      <c r="HV47" s="816"/>
      <c r="HW47" s="816"/>
      <c r="HX47" s="816"/>
      <c r="HY47" s="816"/>
      <c r="HZ47" s="816"/>
      <c r="IA47" s="816"/>
      <c r="IB47" s="816"/>
      <c r="IC47" s="816"/>
      <c r="ID47" s="816"/>
      <c r="IE47" s="816"/>
      <c r="IF47" s="816"/>
      <c r="IG47" s="816"/>
      <c r="IH47" s="816"/>
      <c r="II47" s="816"/>
      <c r="IJ47" s="816"/>
      <c r="IK47" s="816"/>
      <c r="IL47" s="816"/>
      <c r="IM47" s="816"/>
      <c r="IN47" s="816"/>
      <c r="IO47" s="816"/>
      <c r="IP47" s="816"/>
      <c r="IQ47" s="816"/>
      <c r="IR47" s="816"/>
      <c r="IS47" s="816"/>
      <c r="IT47" s="816"/>
      <c r="IU47" s="816"/>
      <c r="IV47" s="816"/>
    </row>
    <row r="48" spans="1:256">
      <c r="A48" s="820">
        <f t="shared" si="9"/>
        <v>28</v>
      </c>
      <c r="B48" s="817" t="s">
        <v>324</v>
      </c>
      <c r="C48" s="829">
        <f t="shared" si="10"/>
        <v>0</v>
      </c>
      <c r="D48" s="829">
        <f t="shared" ref="D48:D56" si="11">D47+C48</f>
        <v>0</v>
      </c>
      <c r="E48" s="817">
        <v>30</v>
      </c>
      <c r="F48" s="711">
        <v>246</v>
      </c>
      <c r="G48" s="830">
        <f t="shared" si="6"/>
        <v>0.67397260273972603</v>
      </c>
      <c r="H48" s="829">
        <f t="shared" si="7"/>
        <v>0</v>
      </c>
      <c r="I48" s="829">
        <f t="shared" si="8"/>
        <v>0</v>
      </c>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816"/>
      <c r="AK48" s="816"/>
      <c r="AL48" s="816"/>
      <c r="AM48" s="816"/>
      <c r="AN48" s="816"/>
      <c r="AO48" s="816"/>
      <c r="AP48" s="816"/>
      <c r="AQ48" s="816"/>
      <c r="AR48" s="816"/>
      <c r="AS48" s="816"/>
      <c r="AT48" s="816"/>
      <c r="AU48" s="816"/>
      <c r="AV48" s="816"/>
      <c r="AW48" s="816"/>
      <c r="AX48" s="816"/>
      <c r="AY48" s="816"/>
      <c r="AZ48" s="816"/>
      <c r="BA48" s="816"/>
      <c r="BB48" s="816"/>
      <c r="BC48" s="816"/>
      <c r="BD48" s="816"/>
      <c r="BE48" s="816"/>
      <c r="BF48" s="816"/>
      <c r="BG48" s="816"/>
      <c r="BH48" s="816"/>
      <c r="BI48" s="816"/>
      <c r="BJ48" s="816"/>
      <c r="BK48" s="816"/>
      <c r="BL48" s="816"/>
      <c r="BM48" s="816"/>
      <c r="BN48" s="816"/>
      <c r="BO48" s="816"/>
      <c r="BP48" s="816"/>
      <c r="BQ48" s="816"/>
      <c r="BR48" s="816"/>
      <c r="BS48" s="816"/>
      <c r="BT48" s="816"/>
      <c r="BU48" s="816"/>
      <c r="BV48" s="816"/>
      <c r="BW48" s="816"/>
      <c r="BX48" s="816"/>
      <c r="BY48" s="816"/>
      <c r="BZ48" s="816"/>
      <c r="CA48" s="816"/>
      <c r="CB48" s="816"/>
      <c r="CC48" s="816"/>
      <c r="CD48" s="816"/>
      <c r="CE48" s="816"/>
      <c r="CF48" s="816"/>
      <c r="CG48" s="816"/>
      <c r="CH48" s="816"/>
      <c r="CI48" s="816"/>
      <c r="CJ48" s="816"/>
      <c r="CK48" s="816"/>
      <c r="CL48" s="816"/>
      <c r="CM48" s="816"/>
      <c r="CN48" s="816"/>
      <c r="CO48" s="816"/>
      <c r="CP48" s="816"/>
      <c r="CQ48" s="816"/>
      <c r="CR48" s="816"/>
      <c r="CS48" s="816"/>
      <c r="CT48" s="816"/>
      <c r="CU48" s="816"/>
      <c r="CV48" s="816"/>
      <c r="CW48" s="816"/>
      <c r="CX48" s="816"/>
      <c r="CY48" s="816"/>
      <c r="CZ48" s="816"/>
      <c r="DA48" s="816"/>
      <c r="DB48" s="816"/>
      <c r="DC48" s="816"/>
      <c r="DD48" s="816"/>
      <c r="DE48" s="816"/>
      <c r="DF48" s="816"/>
      <c r="DG48" s="816"/>
      <c r="DH48" s="816"/>
      <c r="DI48" s="816"/>
      <c r="DJ48" s="816"/>
      <c r="DK48" s="816"/>
      <c r="DL48" s="816"/>
      <c r="DM48" s="816"/>
      <c r="DN48" s="816"/>
      <c r="DO48" s="816"/>
      <c r="DP48" s="816"/>
      <c r="DQ48" s="816"/>
      <c r="DR48" s="816"/>
      <c r="DS48" s="816"/>
      <c r="DT48" s="816"/>
      <c r="DU48" s="816"/>
      <c r="DV48" s="816"/>
      <c r="DW48" s="816"/>
      <c r="DX48" s="816"/>
      <c r="DY48" s="816"/>
      <c r="DZ48" s="816"/>
      <c r="EA48" s="816"/>
      <c r="EB48" s="816"/>
      <c r="EC48" s="816"/>
      <c r="ED48" s="816"/>
      <c r="EE48" s="816"/>
      <c r="EF48" s="816"/>
      <c r="EG48" s="816"/>
      <c r="EH48" s="816"/>
      <c r="EI48" s="816"/>
      <c r="EJ48" s="816"/>
      <c r="EK48" s="816"/>
      <c r="EL48" s="816"/>
      <c r="EM48" s="816"/>
      <c r="EN48" s="816"/>
      <c r="EO48" s="816"/>
      <c r="EP48" s="816"/>
      <c r="EQ48" s="816"/>
      <c r="ER48" s="816"/>
      <c r="ES48" s="816"/>
      <c r="ET48" s="816"/>
      <c r="EU48" s="816"/>
      <c r="EV48" s="816"/>
      <c r="EW48" s="816"/>
      <c r="EX48" s="816"/>
      <c r="EY48" s="816"/>
      <c r="EZ48" s="816"/>
      <c r="FA48" s="816"/>
      <c r="FB48" s="816"/>
      <c r="FC48" s="816"/>
      <c r="FD48" s="816"/>
      <c r="FE48" s="816"/>
      <c r="FF48" s="816"/>
      <c r="FG48" s="816"/>
      <c r="FH48" s="816"/>
      <c r="FI48" s="816"/>
      <c r="FJ48" s="816"/>
      <c r="FK48" s="816"/>
      <c r="FL48" s="816"/>
      <c r="FM48" s="816"/>
      <c r="FN48" s="816"/>
      <c r="FO48" s="816"/>
      <c r="FP48" s="816"/>
      <c r="FQ48" s="816"/>
      <c r="FR48" s="816"/>
      <c r="FS48" s="816"/>
      <c r="FT48" s="816"/>
      <c r="FU48" s="816"/>
      <c r="FV48" s="816"/>
      <c r="FW48" s="816"/>
      <c r="FX48" s="816"/>
      <c r="FY48" s="816"/>
      <c r="FZ48" s="816"/>
      <c r="GA48" s="816"/>
      <c r="GB48" s="816"/>
      <c r="GC48" s="816"/>
      <c r="GD48" s="816"/>
      <c r="GE48" s="816"/>
      <c r="GF48" s="816"/>
      <c r="GG48" s="816"/>
      <c r="GH48" s="816"/>
      <c r="GI48" s="816"/>
      <c r="GJ48" s="816"/>
      <c r="GK48" s="816"/>
      <c r="GL48" s="816"/>
      <c r="GM48" s="816"/>
      <c r="GN48" s="816"/>
      <c r="GO48" s="816"/>
      <c r="GP48" s="816"/>
      <c r="GQ48" s="816"/>
      <c r="GR48" s="816"/>
      <c r="GS48" s="816"/>
      <c r="GT48" s="816"/>
      <c r="GU48" s="816"/>
      <c r="GV48" s="816"/>
      <c r="GW48" s="816"/>
      <c r="GX48" s="816"/>
      <c r="GY48" s="816"/>
      <c r="GZ48" s="816"/>
      <c r="HA48" s="816"/>
      <c r="HB48" s="816"/>
      <c r="HC48" s="816"/>
      <c r="HD48" s="816"/>
      <c r="HE48" s="816"/>
      <c r="HF48" s="816"/>
      <c r="HG48" s="816"/>
      <c r="HH48" s="816"/>
      <c r="HI48" s="816"/>
      <c r="HJ48" s="816"/>
      <c r="HK48" s="816"/>
      <c r="HL48" s="816"/>
      <c r="HM48" s="816"/>
      <c r="HN48" s="816"/>
      <c r="HO48" s="816"/>
      <c r="HP48" s="816"/>
      <c r="HQ48" s="816"/>
      <c r="HR48" s="816"/>
      <c r="HS48" s="816"/>
      <c r="HT48" s="816"/>
      <c r="HU48" s="816"/>
      <c r="HV48" s="816"/>
      <c r="HW48" s="816"/>
      <c r="HX48" s="816"/>
      <c r="HY48" s="816"/>
      <c r="HZ48" s="816"/>
      <c r="IA48" s="816"/>
      <c r="IB48" s="816"/>
      <c r="IC48" s="816"/>
      <c r="ID48" s="816"/>
      <c r="IE48" s="816"/>
      <c r="IF48" s="816"/>
      <c r="IG48" s="816"/>
      <c r="IH48" s="816"/>
      <c r="II48" s="816"/>
      <c r="IJ48" s="816"/>
      <c r="IK48" s="816"/>
      <c r="IL48" s="816"/>
      <c r="IM48" s="816"/>
      <c r="IN48" s="816"/>
      <c r="IO48" s="816"/>
      <c r="IP48" s="816"/>
      <c r="IQ48" s="816"/>
      <c r="IR48" s="816"/>
      <c r="IS48" s="816"/>
      <c r="IT48" s="816"/>
      <c r="IU48" s="816"/>
      <c r="IV48" s="816"/>
    </row>
    <row r="49" spans="1:256">
      <c r="A49" s="820">
        <f t="shared" si="9"/>
        <v>29</v>
      </c>
      <c r="B49" s="817" t="s">
        <v>325</v>
      </c>
      <c r="C49" s="829">
        <f t="shared" si="10"/>
        <v>0</v>
      </c>
      <c r="D49" s="829">
        <f t="shared" si="11"/>
        <v>0</v>
      </c>
      <c r="E49" s="817">
        <v>31</v>
      </c>
      <c r="F49" s="711">
        <v>215</v>
      </c>
      <c r="G49" s="830">
        <f t="shared" si="6"/>
        <v>0.58904109589041098</v>
      </c>
      <c r="H49" s="829">
        <f t="shared" si="7"/>
        <v>0</v>
      </c>
      <c r="I49" s="829">
        <f t="shared" si="8"/>
        <v>0</v>
      </c>
      <c r="J49" s="816"/>
      <c r="K49" s="816"/>
      <c r="L49" s="816"/>
      <c r="M49" s="816"/>
      <c r="N49" s="816"/>
      <c r="O49" s="816"/>
      <c r="P49" s="816"/>
      <c r="Q49" s="816"/>
      <c r="R49" s="816"/>
      <c r="S49" s="816"/>
      <c r="T49" s="816"/>
      <c r="U49" s="816"/>
      <c r="V49" s="816"/>
      <c r="W49" s="816"/>
      <c r="X49" s="816"/>
      <c r="Y49" s="816"/>
      <c r="Z49" s="816"/>
      <c r="AA49" s="816"/>
      <c r="AB49" s="816"/>
      <c r="AC49" s="816"/>
      <c r="AD49" s="816"/>
      <c r="AE49" s="816"/>
      <c r="AF49" s="816"/>
      <c r="AG49" s="816"/>
      <c r="AH49" s="816"/>
      <c r="AI49" s="816"/>
      <c r="AJ49" s="816"/>
      <c r="AK49" s="816"/>
      <c r="AL49" s="816"/>
      <c r="AM49" s="816"/>
      <c r="AN49" s="816"/>
      <c r="AO49" s="816"/>
      <c r="AP49" s="816"/>
      <c r="AQ49" s="816"/>
      <c r="AR49" s="816"/>
      <c r="AS49" s="816"/>
      <c r="AT49" s="816"/>
      <c r="AU49" s="816"/>
      <c r="AV49" s="816"/>
      <c r="AW49" s="816"/>
      <c r="AX49" s="816"/>
      <c r="AY49" s="816"/>
      <c r="AZ49" s="816"/>
      <c r="BA49" s="816"/>
      <c r="BB49" s="816"/>
      <c r="BC49" s="816"/>
      <c r="BD49" s="816"/>
      <c r="BE49" s="816"/>
      <c r="BF49" s="816"/>
      <c r="BG49" s="816"/>
      <c r="BH49" s="816"/>
      <c r="BI49" s="816"/>
      <c r="BJ49" s="816"/>
      <c r="BK49" s="816"/>
      <c r="BL49" s="816"/>
      <c r="BM49" s="816"/>
      <c r="BN49" s="816"/>
      <c r="BO49" s="816"/>
      <c r="BP49" s="816"/>
      <c r="BQ49" s="816"/>
      <c r="BR49" s="816"/>
      <c r="BS49" s="816"/>
      <c r="BT49" s="816"/>
      <c r="BU49" s="816"/>
      <c r="BV49" s="816"/>
      <c r="BW49" s="816"/>
      <c r="BX49" s="816"/>
      <c r="BY49" s="816"/>
      <c r="BZ49" s="816"/>
      <c r="CA49" s="816"/>
      <c r="CB49" s="816"/>
      <c r="CC49" s="816"/>
      <c r="CD49" s="816"/>
      <c r="CE49" s="816"/>
      <c r="CF49" s="816"/>
      <c r="CG49" s="816"/>
      <c r="CH49" s="816"/>
      <c r="CI49" s="816"/>
      <c r="CJ49" s="816"/>
      <c r="CK49" s="816"/>
      <c r="CL49" s="816"/>
      <c r="CM49" s="816"/>
      <c r="CN49" s="816"/>
      <c r="CO49" s="816"/>
      <c r="CP49" s="816"/>
      <c r="CQ49" s="816"/>
      <c r="CR49" s="816"/>
      <c r="CS49" s="816"/>
      <c r="CT49" s="816"/>
      <c r="CU49" s="816"/>
      <c r="CV49" s="816"/>
      <c r="CW49" s="816"/>
      <c r="CX49" s="816"/>
      <c r="CY49" s="816"/>
      <c r="CZ49" s="816"/>
      <c r="DA49" s="816"/>
      <c r="DB49" s="816"/>
      <c r="DC49" s="816"/>
      <c r="DD49" s="816"/>
      <c r="DE49" s="816"/>
      <c r="DF49" s="816"/>
      <c r="DG49" s="816"/>
      <c r="DH49" s="816"/>
      <c r="DI49" s="816"/>
      <c r="DJ49" s="816"/>
      <c r="DK49" s="816"/>
      <c r="DL49" s="816"/>
      <c r="DM49" s="816"/>
      <c r="DN49" s="816"/>
      <c r="DO49" s="816"/>
      <c r="DP49" s="816"/>
      <c r="DQ49" s="816"/>
      <c r="DR49" s="816"/>
      <c r="DS49" s="816"/>
      <c r="DT49" s="816"/>
      <c r="DU49" s="816"/>
      <c r="DV49" s="816"/>
      <c r="DW49" s="816"/>
      <c r="DX49" s="816"/>
      <c r="DY49" s="816"/>
      <c r="DZ49" s="816"/>
      <c r="EA49" s="816"/>
      <c r="EB49" s="816"/>
      <c r="EC49" s="816"/>
      <c r="ED49" s="816"/>
      <c r="EE49" s="816"/>
      <c r="EF49" s="816"/>
      <c r="EG49" s="816"/>
      <c r="EH49" s="816"/>
      <c r="EI49" s="816"/>
      <c r="EJ49" s="816"/>
      <c r="EK49" s="816"/>
      <c r="EL49" s="816"/>
      <c r="EM49" s="816"/>
      <c r="EN49" s="816"/>
      <c r="EO49" s="816"/>
      <c r="EP49" s="816"/>
      <c r="EQ49" s="816"/>
      <c r="ER49" s="816"/>
      <c r="ES49" s="816"/>
      <c r="ET49" s="816"/>
      <c r="EU49" s="816"/>
      <c r="EV49" s="816"/>
      <c r="EW49" s="816"/>
      <c r="EX49" s="816"/>
      <c r="EY49" s="816"/>
      <c r="EZ49" s="816"/>
      <c r="FA49" s="816"/>
      <c r="FB49" s="816"/>
      <c r="FC49" s="816"/>
      <c r="FD49" s="816"/>
      <c r="FE49" s="816"/>
      <c r="FF49" s="816"/>
      <c r="FG49" s="816"/>
      <c r="FH49" s="816"/>
      <c r="FI49" s="816"/>
      <c r="FJ49" s="816"/>
      <c r="FK49" s="816"/>
      <c r="FL49" s="816"/>
      <c r="FM49" s="816"/>
      <c r="FN49" s="816"/>
      <c r="FO49" s="816"/>
      <c r="FP49" s="816"/>
      <c r="FQ49" s="816"/>
      <c r="FR49" s="816"/>
      <c r="FS49" s="816"/>
      <c r="FT49" s="816"/>
      <c r="FU49" s="816"/>
      <c r="FV49" s="816"/>
      <c r="FW49" s="816"/>
      <c r="FX49" s="816"/>
      <c r="FY49" s="816"/>
      <c r="FZ49" s="816"/>
      <c r="GA49" s="816"/>
      <c r="GB49" s="816"/>
      <c r="GC49" s="816"/>
      <c r="GD49" s="816"/>
      <c r="GE49" s="816"/>
      <c r="GF49" s="816"/>
      <c r="GG49" s="816"/>
      <c r="GH49" s="816"/>
      <c r="GI49" s="816"/>
      <c r="GJ49" s="816"/>
      <c r="GK49" s="816"/>
      <c r="GL49" s="816"/>
      <c r="GM49" s="816"/>
      <c r="GN49" s="816"/>
      <c r="GO49" s="816"/>
      <c r="GP49" s="816"/>
      <c r="GQ49" s="816"/>
      <c r="GR49" s="816"/>
      <c r="GS49" s="816"/>
      <c r="GT49" s="816"/>
      <c r="GU49" s="816"/>
      <c r="GV49" s="816"/>
      <c r="GW49" s="816"/>
      <c r="GX49" s="816"/>
      <c r="GY49" s="816"/>
      <c r="GZ49" s="816"/>
      <c r="HA49" s="816"/>
      <c r="HB49" s="816"/>
      <c r="HC49" s="816"/>
      <c r="HD49" s="816"/>
      <c r="HE49" s="816"/>
      <c r="HF49" s="816"/>
      <c r="HG49" s="816"/>
      <c r="HH49" s="816"/>
      <c r="HI49" s="816"/>
      <c r="HJ49" s="816"/>
      <c r="HK49" s="816"/>
      <c r="HL49" s="816"/>
      <c r="HM49" s="816"/>
      <c r="HN49" s="816"/>
      <c r="HO49" s="816"/>
      <c r="HP49" s="816"/>
      <c r="HQ49" s="816"/>
      <c r="HR49" s="816"/>
      <c r="HS49" s="816"/>
      <c r="HT49" s="816"/>
      <c r="HU49" s="816"/>
      <c r="HV49" s="816"/>
      <c r="HW49" s="816"/>
      <c r="HX49" s="816"/>
      <c r="HY49" s="816"/>
      <c r="HZ49" s="816"/>
      <c r="IA49" s="816"/>
      <c r="IB49" s="816"/>
      <c r="IC49" s="816"/>
      <c r="ID49" s="816"/>
      <c r="IE49" s="816"/>
      <c r="IF49" s="816"/>
      <c r="IG49" s="816"/>
      <c r="IH49" s="816"/>
      <c r="II49" s="816"/>
      <c r="IJ49" s="816"/>
      <c r="IK49" s="816"/>
      <c r="IL49" s="816"/>
      <c r="IM49" s="816"/>
      <c r="IN49" s="816"/>
      <c r="IO49" s="816"/>
      <c r="IP49" s="816"/>
      <c r="IQ49" s="816"/>
      <c r="IR49" s="816"/>
      <c r="IS49" s="816"/>
      <c r="IT49" s="816"/>
      <c r="IU49" s="816"/>
      <c r="IV49" s="816"/>
    </row>
    <row r="50" spans="1:256">
      <c r="A50" s="820">
        <f t="shared" si="9"/>
        <v>30</v>
      </c>
      <c r="B50" s="817" t="s">
        <v>48</v>
      </c>
      <c r="C50" s="829">
        <f t="shared" si="10"/>
        <v>0</v>
      </c>
      <c r="D50" s="829">
        <f t="shared" si="11"/>
        <v>0</v>
      </c>
      <c r="E50" s="817">
        <v>30</v>
      </c>
      <c r="F50" s="711">
        <v>185</v>
      </c>
      <c r="G50" s="830">
        <f t="shared" si="6"/>
        <v>0.50684931506849318</v>
      </c>
      <c r="H50" s="829">
        <f t="shared" si="7"/>
        <v>0</v>
      </c>
      <c r="I50" s="829">
        <f t="shared" si="8"/>
        <v>0</v>
      </c>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6"/>
      <c r="AO50" s="816"/>
      <c r="AP50" s="816"/>
      <c r="AQ50" s="816"/>
      <c r="AR50" s="816"/>
      <c r="AS50" s="816"/>
      <c r="AT50" s="816"/>
      <c r="AU50" s="816"/>
      <c r="AV50" s="816"/>
      <c r="AW50" s="816"/>
      <c r="AX50" s="816"/>
      <c r="AY50" s="816"/>
      <c r="AZ50" s="816"/>
      <c r="BA50" s="816"/>
      <c r="BB50" s="816"/>
      <c r="BC50" s="816"/>
      <c r="BD50" s="816"/>
      <c r="BE50" s="816"/>
      <c r="BF50" s="816"/>
      <c r="BG50" s="816"/>
      <c r="BH50" s="816"/>
      <c r="BI50" s="816"/>
      <c r="BJ50" s="816"/>
      <c r="BK50" s="816"/>
      <c r="BL50" s="816"/>
      <c r="BM50" s="816"/>
      <c r="BN50" s="816"/>
      <c r="BO50" s="816"/>
      <c r="BP50" s="816"/>
      <c r="BQ50" s="816"/>
      <c r="BR50" s="816"/>
      <c r="BS50" s="816"/>
      <c r="BT50" s="816"/>
      <c r="BU50" s="816"/>
      <c r="BV50" s="816"/>
      <c r="BW50" s="816"/>
      <c r="BX50" s="816"/>
      <c r="BY50" s="816"/>
      <c r="BZ50" s="816"/>
      <c r="CA50" s="816"/>
      <c r="CB50" s="816"/>
      <c r="CC50" s="816"/>
      <c r="CD50" s="816"/>
      <c r="CE50" s="816"/>
      <c r="CF50" s="816"/>
      <c r="CG50" s="816"/>
      <c r="CH50" s="816"/>
      <c r="CI50" s="816"/>
      <c r="CJ50" s="816"/>
      <c r="CK50" s="816"/>
      <c r="CL50" s="816"/>
      <c r="CM50" s="816"/>
      <c r="CN50" s="816"/>
      <c r="CO50" s="816"/>
      <c r="CP50" s="816"/>
      <c r="CQ50" s="816"/>
      <c r="CR50" s="816"/>
      <c r="CS50" s="816"/>
      <c r="CT50" s="816"/>
      <c r="CU50" s="816"/>
      <c r="CV50" s="816"/>
      <c r="CW50" s="816"/>
      <c r="CX50" s="816"/>
      <c r="CY50" s="816"/>
      <c r="CZ50" s="816"/>
      <c r="DA50" s="816"/>
      <c r="DB50" s="816"/>
      <c r="DC50" s="816"/>
      <c r="DD50" s="816"/>
      <c r="DE50" s="816"/>
      <c r="DF50" s="816"/>
      <c r="DG50" s="816"/>
      <c r="DH50" s="816"/>
      <c r="DI50" s="816"/>
      <c r="DJ50" s="816"/>
      <c r="DK50" s="816"/>
      <c r="DL50" s="816"/>
      <c r="DM50" s="816"/>
      <c r="DN50" s="816"/>
      <c r="DO50" s="816"/>
      <c r="DP50" s="816"/>
      <c r="DQ50" s="816"/>
      <c r="DR50" s="816"/>
      <c r="DS50" s="816"/>
      <c r="DT50" s="816"/>
      <c r="DU50" s="816"/>
      <c r="DV50" s="816"/>
      <c r="DW50" s="816"/>
      <c r="DX50" s="816"/>
      <c r="DY50" s="816"/>
      <c r="DZ50" s="816"/>
      <c r="EA50" s="816"/>
      <c r="EB50" s="816"/>
      <c r="EC50" s="816"/>
      <c r="ED50" s="816"/>
      <c r="EE50" s="816"/>
      <c r="EF50" s="816"/>
      <c r="EG50" s="816"/>
      <c r="EH50" s="816"/>
      <c r="EI50" s="816"/>
      <c r="EJ50" s="816"/>
      <c r="EK50" s="816"/>
      <c r="EL50" s="816"/>
      <c r="EM50" s="816"/>
      <c r="EN50" s="816"/>
      <c r="EO50" s="816"/>
      <c r="EP50" s="816"/>
      <c r="EQ50" s="816"/>
      <c r="ER50" s="816"/>
      <c r="ES50" s="816"/>
      <c r="ET50" s="816"/>
      <c r="EU50" s="816"/>
      <c r="EV50" s="816"/>
      <c r="EW50" s="816"/>
      <c r="EX50" s="816"/>
      <c r="EY50" s="816"/>
      <c r="EZ50" s="816"/>
      <c r="FA50" s="816"/>
      <c r="FB50" s="816"/>
      <c r="FC50" s="816"/>
      <c r="FD50" s="816"/>
      <c r="FE50" s="816"/>
      <c r="FF50" s="816"/>
      <c r="FG50" s="816"/>
      <c r="FH50" s="816"/>
      <c r="FI50" s="816"/>
      <c r="FJ50" s="816"/>
      <c r="FK50" s="816"/>
      <c r="FL50" s="816"/>
      <c r="FM50" s="816"/>
      <c r="FN50" s="816"/>
      <c r="FO50" s="816"/>
      <c r="FP50" s="816"/>
      <c r="FQ50" s="816"/>
      <c r="FR50" s="816"/>
      <c r="FS50" s="816"/>
      <c r="FT50" s="816"/>
      <c r="FU50" s="816"/>
      <c r="FV50" s="816"/>
      <c r="FW50" s="816"/>
      <c r="FX50" s="816"/>
      <c r="FY50" s="816"/>
      <c r="FZ50" s="816"/>
      <c r="GA50" s="816"/>
      <c r="GB50" s="816"/>
      <c r="GC50" s="816"/>
      <c r="GD50" s="816"/>
      <c r="GE50" s="816"/>
      <c r="GF50" s="816"/>
      <c r="GG50" s="816"/>
      <c r="GH50" s="816"/>
      <c r="GI50" s="816"/>
      <c r="GJ50" s="816"/>
      <c r="GK50" s="816"/>
      <c r="GL50" s="816"/>
      <c r="GM50" s="816"/>
      <c r="GN50" s="816"/>
      <c r="GO50" s="816"/>
      <c r="GP50" s="816"/>
      <c r="GQ50" s="816"/>
      <c r="GR50" s="816"/>
      <c r="GS50" s="816"/>
      <c r="GT50" s="816"/>
      <c r="GU50" s="816"/>
      <c r="GV50" s="816"/>
      <c r="GW50" s="816"/>
      <c r="GX50" s="816"/>
      <c r="GY50" s="816"/>
      <c r="GZ50" s="816"/>
      <c r="HA50" s="816"/>
      <c r="HB50" s="816"/>
      <c r="HC50" s="816"/>
      <c r="HD50" s="816"/>
      <c r="HE50" s="816"/>
      <c r="HF50" s="816"/>
      <c r="HG50" s="816"/>
      <c r="HH50" s="816"/>
      <c r="HI50" s="816"/>
      <c r="HJ50" s="816"/>
      <c r="HK50" s="816"/>
      <c r="HL50" s="816"/>
      <c r="HM50" s="816"/>
      <c r="HN50" s="816"/>
      <c r="HO50" s="816"/>
      <c r="HP50" s="816"/>
      <c r="HQ50" s="816"/>
      <c r="HR50" s="816"/>
      <c r="HS50" s="816"/>
      <c r="HT50" s="816"/>
      <c r="HU50" s="816"/>
      <c r="HV50" s="816"/>
      <c r="HW50" s="816"/>
      <c r="HX50" s="816"/>
      <c r="HY50" s="816"/>
      <c r="HZ50" s="816"/>
      <c r="IA50" s="816"/>
      <c r="IB50" s="816"/>
      <c r="IC50" s="816"/>
      <c r="ID50" s="816"/>
      <c r="IE50" s="816"/>
      <c r="IF50" s="816"/>
      <c r="IG50" s="816"/>
      <c r="IH50" s="816"/>
      <c r="II50" s="816"/>
      <c r="IJ50" s="816"/>
      <c r="IK50" s="816"/>
      <c r="IL50" s="816"/>
      <c r="IM50" s="816"/>
      <c r="IN50" s="816"/>
      <c r="IO50" s="816"/>
      <c r="IP50" s="816"/>
      <c r="IQ50" s="816"/>
      <c r="IR50" s="816"/>
      <c r="IS50" s="816"/>
      <c r="IT50" s="816"/>
      <c r="IU50" s="816"/>
      <c r="IV50" s="816"/>
    </row>
    <row r="51" spans="1:256">
      <c r="A51" s="820">
        <f t="shared" si="9"/>
        <v>31</v>
      </c>
      <c r="B51" s="817" t="s">
        <v>326</v>
      </c>
      <c r="C51" s="829">
        <f t="shared" si="10"/>
        <v>0</v>
      </c>
      <c r="D51" s="829">
        <f t="shared" si="11"/>
        <v>0</v>
      </c>
      <c r="E51" s="817">
        <v>31</v>
      </c>
      <c r="F51" s="711">
        <v>154</v>
      </c>
      <c r="G51" s="830">
        <f t="shared" si="6"/>
        <v>0.42191780821917807</v>
      </c>
      <c r="H51" s="829">
        <f t="shared" si="7"/>
        <v>0</v>
      </c>
      <c r="I51" s="829">
        <f t="shared" ref="I51:I56" si="12">I50+H51</f>
        <v>0</v>
      </c>
      <c r="J51" s="816"/>
      <c r="K51" s="816"/>
      <c r="L51" s="816"/>
      <c r="M51" s="816"/>
      <c r="N51" s="816"/>
      <c r="O51" s="816"/>
      <c r="P51" s="816"/>
      <c r="Q51" s="816"/>
      <c r="R51" s="816"/>
      <c r="S51" s="816"/>
      <c r="T51" s="816"/>
      <c r="U51" s="816"/>
      <c r="V51" s="816"/>
      <c r="W51" s="816"/>
      <c r="X51" s="816"/>
      <c r="Y51" s="816"/>
      <c r="Z51" s="816"/>
      <c r="AA51" s="816"/>
      <c r="AB51" s="816"/>
      <c r="AC51" s="816"/>
      <c r="AD51" s="816"/>
      <c r="AE51" s="816"/>
      <c r="AF51" s="816"/>
      <c r="AG51" s="816"/>
      <c r="AH51" s="816"/>
      <c r="AI51" s="816"/>
      <c r="AJ51" s="816"/>
      <c r="AK51" s="816"/>
      <c r="AL51" s="816"/>
      <c r="AM51" s="816"/>
      <c r="AN51" s="816"/>
      <c r="AO51" s="816"/>
      <c r="AP51" s="816"/>
      <c r="AQ51" s="816"/>
      <c r="AR51" s="816"/>
      <c r="AS51" s="816"/>
      <c r="AT51" s="816"/>
      <c r="AU51" s="816"/>
      <c r="AV51" s="816"/>
      <c r="AW51" s="816"/>
      <c r="AX51" s="816"/>
      <c r="AY51" s="816"/>
      <c r="AZ51" s="816"/>
      <c r="BA51" s="816"/>
      <c r="BB51" s="816"/>
      <c r="BC51" s="816"/>
      <c r="BD51" s="816"/>
      <c r="BE51" s="816"/>
      <c r="BF51" s="816"/>
      <c r="BG51" s="816"/>
      <c r="BH51" s="816"/>
      <c r="BI51" s="816"/>
      <c r="BJ51" s="816"/>
      <c r="BK51" s="816"/>
      <c r="BL51" s="816"/>
      <c r="BM51" s="816"/>
      <c r="BN51" s="816"/>
      <c r="BO51" s="816"/>
      <c r="BP51" s="816"/>
      <c r="BQ51" s="816"/>
      <c r="BR51" s="816"/>
      <c r="BS51" s="816"/>
      <c r="BT51" s="816"/>
      <c r="BU51" s="816"/>
      <c r="BV51" s="816"/>
      <c r="BW51" s="816"/>
      <c r="BX51" s="816"/>
      <c r="BY51" s="816"/>
      <c r="BZ51" s="816"/>
      <c r="CA51" s="816"/>
      <c r="CB51" s="816"/>
      <c r="CC51" s="816"/>
      <c r="CD51" s="816"/>
      <c r="CE51" s="816"/>
      <c r="CF51" s="816"/>
      <c r="CG51" s="816"/>
      <c r="CH51" s="816"/>
      <c r="CI51" s="816"/>
      <c r="CJ51" s="816"/>
      <c r="CK51" s="816"/>
      <c r="CL51" s="816"/>
      <c r="CM51" s="816"/>
      <c r="CN51" s="816"/>
      <c r="CO51" s="816"/>
      <c r="CP51" s="816"/>
      <c r="CQ51" s="816"/>
      <c r="CR51" s="816"/>
      <c r="CS51" s="816"/>
      <c r="CT51" s="816"/>
      <c r="CU51" s="816"/>
      <c r="CV51" s="816"/>
      <c r="CW51" s="816"/>
      <c r="CX51" s="816"/>
      <c r="CY51" s="816"/>
      <c r="CZ51" s="816"/>
      <c r="DA51" s="816"/>
      <c r="DB51" s="816"/>
      <c r="DC51" s="816"/>
      <c r="DD51" s="816"/>
      <c r="DE51" s="816"/>
      <c r="DF51" s="816"/>
      <c r="DG51" s="816"/>
      <c r="DH51" s="816"/>
      <c r="DI51" s="816"/>
      <c r="DJ51" s="816"/>
      <c r="DK51" s="816"/>
      <c r="DL51" s="816"/>
      <c r="DM51" s="816"/>
      <c r="DN51" s="816"/>
      <c r="DO51" s="816"/>
      <c r="DP51" s="816"/>
      <c r="DQ51" s="816"/>
      <c r="DR51" s="816"/>
      <c r="DS51" s="816"/>
      <c r="DT51" s="816"/>
      <c r="DU51" s="816"/>
      <c r="DV51" s="816"/>
      <c r="DW51" s="816"/>
      <c r="DX51" s="816"/>
      <c r="DY51" s="816"/>
      <c r="DZ51" s="816"/>
      <c r="EA51" s="816"/>
      <c r="EB51" s="816"/>
      <c r="EC51" s="816"/>
      <c r="ED51" s="816"/>
      <c r="EE51" s="816"/>
      <c r="EF51" s="816"/>
      <c r="EG51" s="816"/>
      <c r="EH51" s="816"/>
      <c r="EI51" s="816"/>
      <c r="EJ51" s="816"/>
      <c r="EK51" s="816"/>
      <c r="EL51" s="816"/>
      <c r="EM51" s="816"/>
      <c r="EN51" s="816"/>
      <c r="EO51" s="816"/>
      <c r="EP51" s="816"/>
      <c r="EQ51" s="816"/>
      <c r="ER51" s="816"/>
      <c r="ES51" s="816"/>
      <c r="ET51" s="816"/>
      <c r="EU51" s="816"/>
      <c r="EV51" s="816"/>
      <c r="EW51" s="816"/>
      <c r="EX51" s="816"/>
      <c r="EY51" s="816"/>
      <c r="EZ51" s="816"/>
      <c r="FA51" s="816"/>
      <c r="FB51" s="816"/>
      <c r="FC51" s="816"/>
      <c r="FD51" s="816"/>
      <c r="FE51" s="816"/>
      <c r="FF51" s="816"/>
      <c r="FG51" s="816"/>
      <c r="FH51" s="816"/>
      <c r="FI51" s="816"/>
      <c r="FJ51" s="816"/>
      <c r="FK51" s="816"/>
      <c r="FL51" s="816"/>
      <c r="FM51" s="816"/>
      <c r="FN51" s="816"/>
      <c r="FO51" s="816"/>
      <c r="FP51" s="816"/>
      <c r="FQ51" s="816"/>
      <c r="FR51" s="816"/>
      <c r="FS51" s="816"/>
      <c r="FT51" s="816"/>
      <c r="FU51" s="816"/>
      <c r="FV51" s="816"/>
      <c r="FW51" s="816"/>
      <c r="FX51" s="816"/>
      <c r="FY51" s="816"/>
      <c r="FZ51" s="816"/>
      <c r="GA51" s="816"/>
      <c r="GB51" s="816"/>
      <c r="GC51" s="816"/>
      <c r="GD51" s="816"/>
      <c r="GE51" s="816"/>
      <c r="GF51" s="816"/>
      <c r="GG51" s="816"/>
      <c r="GH51" s="816"/>
      <c r="GI51" s="816"/>
      <c r="GJ51" s="816"/>
      <c r="GK51" s="816"/>
      <c r="GL51" s="816"/>
      <c r="GM51" s="816"/>
      <c r="GN51" s="816"/>
      <c r="GO51" s="816"/>
      <c r="GP51" s="816"/>
      <c r="GQ51" s="816"/>
      <c r="GR51" s="816"/>
      <c r="GS51" s="816"/>
      <c r="GT51" s="816"/>
      <c r="GU51" s="816"/>
      <c r="GV51" s="816"/>
      <c r="GW51" s="816"/>
      <c r="GX51" s="816"/>
      <c r="GY51" s="816"/>
      <c r="GZ51" s="816"/>
      <c r="HA51" s="816"/>
      <c r="HB51" s="816"/>
      <c r="HC51" s="816"/>
      <c r="HD51" s="816"/>
      <c r="HE51" s="816"/>
      <c r="HF51" s="816"/>
      <c r="HG51" s="816"/>
      <c r="HH51" s="816"/>
      <c r="HI51" s="816"/>
      <c r="HJ51" s="816"/>
      <c r="HK51" s="816"/>
      <c r="HL51" s="816"/>
      <c r="HM51" s="816"/>
      <c r="HN51" s="816"/>
      <c r="HO51" s="816"/>
      <c r="HP51" s="816"/>
      <c r="HQ51" s="816"/>
      <c r="HR51" s="816"/>
      <c r="HS51" s="816"/>
      <c r="HT51" s="816"/>
      <c r="HU51" s="816"/>
      <c r="HV51" s="816"/>
      <c r="HW51" s="816"/>
      <c r="HX51" s="816"/>
      <c r="HY51" s="816"/>
      <c r="HZ51" s="816"/>
      <c r="IA51" s="816"/>
      <c r="IB51" s="816"/>
      <c r="IC51" s="816"/>
      <c r="ID51" s="816"/>
      <c r="IE51" s="816"/>
      <c r="IF51" s="816"/>
      <c r="IG51" s="816"/>
      <c r="IH51" s="816"/>
      <c r="II51" s="816"/>
      <c r="IJ51" s="816"/>
      <c r="IK51" s="816"/>
      <c r="IL51" s="816"/>
      <c r="IM51" s="816"/>
      <c r="IN51" s="816"/>
      <c r="IO51" s="816"/>
      <c r="IP51" s="816"/>
      <c r="IQ51" s="816"/>
      <c r="IR51" s="816"/>
      <c r="IS51" s="816"/>
      <c r="IT51" s="816"/>
      <c r="IU51" s="816"/>
      <c r="IV51" s="816"/>
    </row>
    <row r="52" spans="1:256">
      <c r="A52" s="820">
        <f t="shared" si="9"/>
        <v>32</v>
      </c>
      <c r="B52" s="817" t="s">
        <v>327</v>
      </c>
      <c r="C52" s="829">
        <f t="shared" si="10"/>
        <v>0</v>
      </c>
      <c r="D52" s="829">
        <f t="shared" si="11"/>
        <v>0</v>
      </c>
      <c r="E52" s="817">
        <v>31</v>
      </c>
      <c r="F52" s="711">
        <v>123</v>
      </c>
      <c r="G52" s="830">
        <f t="shared" si="6"/>
        <v>0.33698630136986302</v>
      </c>
      <c r="H52" s="829">
        <f t="shared" si="7"/>
        <v>0</v>
      </c>
      <c r="I52" s="829">
        <f t="shared" si="12"/>
        <v>0</v>
      </c>
      <c r="J52" s="816"/>
      <c r="K52" s="816"/>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6"/>
      <c r="AI52" s="816"/>
      <c r="AJ52" s="816"/>
      <c r="AK52" s="816"/>
      <c r="AL52" s="816"/>
      <c r="AM52" s="816"/>
      <c r="AN52" s="816"/>
      <c r="AO52" s="816"/>
      <c r="AP52" s="816"/>
      <c r="AQ52" s="816"/>
      <c r="AR52" s="816"/>
      <c r="AS52" s="816"/>
      <c r="AT52" s="816"/>
      <c r="AU52" s="816"/>
      <c r="AV52" s="816"/>
      <c r="AW52" s="816"/>
      <c r="AX52" s="816"/>
      <c r="AY52" s="816"/>
      <c r="AZ52" s="816"/>
      <c r="BA52" s="816"/>
      <c r="BB52" s="816"/>
      <c r="BC52" s="816"/>
      <c r="BD52" s="816"/>
      <c r="BE52" s="816"/>
      <c r="BF52" s="816"/>
      <c r="BG52" s="816"/>
      <c r="BH52" s="816"/>
      <c r="BI52" s="816"/>
      <c r="BJ52" s="816"/>
      <c r="BK52" s="816"/>
      <c r="BL52" s="816"/>
      <c r="BM52" s="816"/>
      <c r="BN52" s="816"/>
      <c r="BO52" s="816"/>
      <c r="BP52" s="816"/>
      <c r="BQ52" s="816"/>
      <c r="BR52" s="816"/>
      <c r="BS52" s="816"/>
      <c r="BT52" s="816"/>
      <c r="BU52" s="816"/>
      <c r="BV52" s="816"/>
      <c r="BW52" s="816"/>
      <c r="BX52" s="816"/>
      <c r="BY52" s="816"/>
      <c r="BZ52" s="816"/>
      <c r="CA52" s="816"/>
      <c r="CB52" s="816"/>
      <c r="CC52" s="816"/>
      <c r="CD52" s="816"/>
      <c r="CE52" s="816"/>
      <c r="CF52" s="816"/>
      <c r="CG52" s="816"/>
      <c r="CH52" s="816"/>
      <c r="CI52" s="816"/>
      <c r="CJ52" s="816"/>
      <c r="CK52" s="816"/>
      <c r="CL52" s="816"/>
      <c r="CM52" s="816"/>
      <c r="CN52" s="816"/>
      <c r="CO52" s="816"/>
      <c r="CP52" s="816"/>
      <c r="CQ52" s="816"/>
      <c r="CR52" s="816"/>
      <c r="CS52" s="816"/>
      <c r="CT52" s="816"/>
      <c r="CU52" s="816"/>
      <c r="CV52" s="816"/>
      <c r="CW52" s="816"/>
      <c r="CX52" s="816"/>
      <c r="CY52" s="816"/>
      <c r="CZ52" s="816"/>
      <c r="DA52" s="816"/>
      <c r="DB52" s="816"/>
      <c r="DC52" s="816"/>
      <c r="DD52" s="816"/>
      <c r="DE52" s="816"/>
      <c r="DF52" s="816"/>
      <c r="DG52" s="816"/>
      <c r="DH52" s="816"/>
      <c r="DI52" s="816"/>
      <c r="DJ52" s="816"/>
      <c r="DK52" s="816"/>
      <c r="DL52" s="816"/>
      <c r="DM52" s="816"/>
      <c r="DN52" s="816"/>
      <c r="DO52" s="816"/>
      <c r="DP52" s="816"/>
      <c r="DQ52" s="816"/>
      <c r="DR52" s="816"/>
      <c r="DS52" s="816"/>
      <c r="DT52" s="816"/>
      <c r="DU52" s="816"/>
      <c r="DV52" s="816"/>
      <c r="DW52" s="816"/>
      <c r="DX52" s="816"/>
      <c r="DY52" s="816"/>
      <c r="DZ52" s="816"/>
      <c r="EA52" s="816"/>
      <c r="EB52" s="816"/>
      <c r="EC52" s="816"/>
      <c r="ED52" s="816"/>
      <c r="EE52" s="816"/>
      <c r="EF52" s="816"/>
      <c r="EG52" s="816"/>
      <c r="EH52" s="816"/>
      <c r="EI52" s="816"/>
      <c r="EJ52" s="816"/>
      <c r="EK52" s="816"/>
      <c r="EL52" s="816"/>
      <c r="EM52" s="816"/>
      <c r="EN52" s="816"/>
      <c r="EO52" s="816"/>
      <c r="EP52" s="816"/>
      <c r="EQ52" s="816"/>
      <c r="ER52" s="816"/>
      <c r="ES52" s="816"/>
      <c r="ET52" s="816"/>
      <c r="EU52" s="816"/>
      <c r="EV52" s="816"/>
      <c r="EW52" s="816"/>
      <c r="EX52" s="816"/>
      <c r="EY52" s="816"/>
      <c r="EZ52" s="816"/>
      <c r="FA52" s="816"/>
      <c r="FB52" s="816"/>
      <c r="FC52" s="816"/>
      <c r="FD52" s="816"/>
      <c r="FE52" s="816"/>
      <c r="FF52" s="816"/>
      <c r="FG52" s="816"/>
      <c r="FH52" s="816"/>
      <c r="FI52" s="816"/>
      <c r="FJ52" s="816"/>
      <c r="FK52" s="816"/>
      <c r="FL52" s="816"/>
      <c r="FM52" s="816"/>
      <c r="FN52" s="816"/>
      <c r="FO52" s="816"/>
      <c r="FP52" s="816"/>
      <c r="FQ52" s="816"/>
      <c r="FR52" s="816"/>
      <c r="FS52" s="816"/>
      <c r="FT52" s="816"/>
      <c r="FU52" s="816"/>
      <c r="FV52" s="816"/>
      <c r="FW52" s="816"/>
      <c r="FX52" s="816"/>
      <c r="FY52" s="816"/>
      <c r="FZ52" s="816"/>
      <c r="GA52" s="816"/>
      <c r="GB52" s="816"/>
      <c r="GC52" s="816"/>
      <c r="GD52" s="816"/>
      <c r="GE52" s="816"/>
      <c r="GF52" s="816"/>
      <c r="GG52" s="816"/>
      <c r="GH52" s="816"/>
      <c r="GI52" s="816"/>
      <c r="GJ52" s="816"/>
      <c r="GK52" s="816"/>
      <c r="GL52" s="816"/>
      <c r="GM52" s="816"/>
      <c r="GN52" s="816"/>
      <c r="GO52" s="816"/>
      <c r="GP52" s="816"/>
      <c r="GQ52" s="816"/>
      <c r="GR52" s="816"/>
      <c r="GS52" s="816"/>
      <c r="GT52" s="816"/>
      <c r="GU52" s="816"/>
      <c r="GV52" s="816"/>
      <c r="GW52" s="816"/>
      <c r="GX52" s="816"/>
      <c r="GY52" s="816"/>
      <c r="GZ52" s="816"/>
      <c r="HA52" s="816"/>
      <c r="HB52" s="816"/>
      <c r="HC52" s="816"/>
      <c r="HD52" s="816"/>
      <c r="HE52" s="816"/>
      <c r="HF52" s="816"/>
      <c r="HG52" s="816"/>
      <c r="HH52" s="816"/>
      <c r="HI52" s="816"/>
      <c r="HJ52" s="816"/>
      <c r="HK52" s="816"/>
      <c r="HL52" s="816"/>
      <c r="HM52" s="816"/>
      <c r="HN52" s="816"/>
      <c r="HO52" s="816"/>
      <c r="HP52" s="816"/>
      <c r="HQ52" s="816"/>
      <c r="HR52" s="816"/>
      <c r="HS52" s="816"/>
      <c r="HT52" s="816"/>
      <c r="HU52" s="816"/>
      <c r="HV52" s="816"/>
      <c r="HW52" s="816"/>
      <c r="HX52" s="816"/>
      <c r="HY52" s="816"/>
      <c r="HZ52" s="816"/>
      <c r="IA52" s="816"/>
      <c r="IB52" s="816"/>
      <c r="IC52" s="816"/>
      <c r="ID52" s="816"/>
      <c r="IE52" s="816"/>
      <c r="IF52" s="816"/>
      <c r="IG52" s="816"/>
      <c r="IH52" s="816"/>
      <c r="II52" s="816"/>
      <c r="IJ52" s="816"/>
      <c r="IK52" s="816"/>
      <c r="IL52" s="816"/>
      <c r="IM52" s="816"/>
      <c r="IN52" s="816"/>
      <c r="IO52" s="816"/>
      <c r="IP52" s="816"/>
      <c r="IQ52" s="816"/>
      <c r="IR52" s="816"/>
      <c r="IS52" s="816"/>
      <c r="IT52" s="816"/>
      <c r="IU52" s="816"/>
      <c r="IV52" s="816"/>
    </row>
    <row r="53" spans="1:256">
      <c r="A53" s="820">
        <f t="shared" si="9"/>
        <v>33</v>
      </c>
      <c r="B53" s="817" t="s">
        <v>329</v>
      </c>
      <c r="C53" s="829">
        <f t="shared" si="10"/>
        <v>0</v>
      </c>
      <c r="D53" s="829">
        <f t="shared" si="11"/>
        <v>0</v>
      </c>
      <c r="E53" s="817">
        <v>30</v>
      </c>
      <c r="F53" s="711">
        <v>93</v>
      </c>
      <c r="G53" s="830">
        <f t="shared" si="6"/>
        <v>0.25479452054794521</v>
      </c>
      <c r="H53" s="829">
        <f t="shared" si="7"/>
        <v>0</v>
      </c>
      <c r="I53" s="829">
        <f t="shared" si="12"/>
        <v>0</v>
      </c>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816"/>
      <c r="AH53" s="816"/>
      <c r="AI53" s="816"/>
      <c r="AJ53" s="816"/>
      <c r="AK53" s="816"/>
      <c r="AL53" s="816"/>
      <c r="AM53" s="816"/>
      <c r="AN53" s="816"/>
      <c r="AO53" s="816"/>
      <c r="AP53" s="816"/>
      <c r="AQ53" s="816"/>
      <c r="AR53" s="816"/>
      <c r="AS53" s="816"/>
      <c r="AT53" s="816"/>
      <c r="AU53" s="816"/>
      <c r="AV53" s="816"/>
      <c r="AW53" s="816"/>
      <c r="AX53" s="816"/>
      <c r="AY53" s="816"/>
      <c r="AZ53" s="816"/>
      <c r="BA53" s="816"/>
      <c r="BB53" s="816"/>
      <c r="BC53" s="816"/>
      <c r="BD53" s="816"/>
      <c r="BE53" s="816"/>
      <c r="BF53" s="816"/>
      <c r="BG53" s="816"/>
      <c r="BH53" s="816"/>
      <c r="BI53" s="816"/>
      <c r="BJ53" s="816"/>
      <c r="BK53" s="816"/>
      <c r="BL53" s="816"/>
      <c r="BM53" s="816"/>
      <c r="BN53" s="816"/>
      <c r="BO53" s="816"/>
      <c r="BP53" s="816"/>
      <c r="BQ53" s="816"/>
      <c r="BR53" s="816"/>
      <c r="BS53" s="816"/>
      <c r="BT53" s="816"/>
      <c r="BU53" s="816"/>
      <c r="BV53" s="816"/>
      <c r="BW53" s="816"/>
      <c r="BX53" s="816"/>
      <c r="BY53" s="816"/>
      <c r="BZ53" s="816"/>
      <c r="CA53" s="816"/>
      <c r="CB53" s="816"/>
      <c r="CC53" s="816"/>
      <c r="CD53" s="816"/>
      <c r="CE53" s="816"/>
      <c r="CF53" s="816"/>
      <c r="CG53" s="816"/>
      <c r="CH53" s="816"/>
      <c r="CI53" s="816"/>
      <c r="CJ53" s="816"/>
      <c r="CK53" s="816"/>
      <c r="CL53" s="816"/>
      <c r="CM53" s="816"/>
      <c r="CN53" s="816"/>
      <c r="CO53" s="816"/>
      <c r="CP53" s="816"/>
      <c r="CQ53" s="816"/>
      <c r="CR53" s="816"/>
      <c r="CS53" s="816"/>
      <c r="CT53" s="816"/>
      <c r="CU53" s="816"/>
      <c r="CV53" s="816"/>
      <c r="CW53" s="816"/>
      <c r="CX53" s="816"/>
      <c r="CY53" s="816"/>
      <c r="CZ53" s="816"/>
      <c r="DA53" s="816"/>
      <c r="DB53" s="816"/>
      <c r="DC53" s="816"/>
      <c r="DD53" s="816"/>
      <c r="DE53" s="816"/>
      <c r="DF53" s="816"/>
      <c r="DG53" s="816"/>
      <c r="DH53" s="816"/>
      <c r="DI53" s="816"/>
      <c r="DJ53" s="816"/>
      <c r="DK53" s="816"/>
      <c r="DL53" s="816"/>
      <c r="DM53" s="816"/>
      <c r="DN53" s="816"/>
      <c r="DO53" s="816"/>
      <c r="DP53" s="816"/>
      <c r="DQ53" s="816"/>
      <c r="DR53" s="816"/>
      <c r="DS53" s="816"/>
      <c r="DT53" s="816"/>
      <c r="DU53" s="816"/>
      <c r="DV53" s="816"/>
      <c r="DW53" s="816"/>
      <c r="DX53" s="816"/>
      <c r="DY53" s="816"/>
      <c r="DZ53" s="816"/>
      <c r="EA53" s="816"/>
      <c r="EB53" s="816"/>
      <c r="EC53" s="816"/>
      <c r="ED53" s="816"/>
      <c r="EE53" s="816"/>
      <c r="EF53" s="816"/>
      <c r="EG53" s="816"/>
      <c r="EH53" s="816"/>
      <c r="EI53" s="816"/>
      <c r="EJ53" s="816"/>
      <c r="EK53" s="816"/>
      <c r="EL53" s="816"/>
      <c r="EM53" s="816"/>
      <c r="EN53" s="816"/>
      <c r="EO53" s="816"/>
      <c r="EP53" s="816"/>
      <c r="EQ53" s="816"/>
      <c r="ER53" s="816"/>
      <c r="ES53" s="816"/>
      <c r="ET53" s="816"/>
      <c r="EU53" s="816"/>
      <c r="EV53" s="816"/>
      <c r="EW53" s="816"/>
      <c r="EX53" s="816"/>
      <c r="EY53" s="816"/>
      <c r="EZ53" s="816"/>
      <c r="FA53" s="816"/>
      <c r="FB53" s="816"/>
      <c r="FC53" s="816"/>
      <c r="FD53" s="816"/>
      <c r="FE53" s="816"/>
      <c r="FF53" s="816"/>
      <c r="FG53" s="816"/>
      <c r="FH53" s="816"/>
      <c r="FI53" s="816"/>
      <c r="FJ53" s="816"/>
      <c r="FK53" s="816"/>
      <c r="FL53" s="816"/>
      <c r="FM53" s="816"/>
      <c r="FN53" s="816"/>
      <c r="FO53" s="816"/>
      <c r="FP53" s="816"/>
      <c r="FQ53" s="816"/>
      <c r="FR53" s="816"/>
      <c r="FS53" s="816"/>
      <c r="FT53" s="816"/>
      <c r="FU53" s="816"/>
      <c r="FV53" s="816"/>
      <c r="FW53" s="816"/>
      <c r="FX53" s="816"/>
      <c r="FY53" s="816"/>
      <c r="FZ53" s="816"/>
      <c r="GA53" s="816"/>
      <c r="GB53" s="816"/>
      <c r="GC53" s="816"/>
      <c r="GD53" s="816"/>
      <c r="GE53" s="816"/>
      <c r="GF53" s="816"/>
      <c r="GG53" s="816"/>
      <c r="GH53" s="816"/>
      <c r="GI53" s="816"/>
      <c r="GJ53" s="816"/>
      <c r="GK53" s="816"/>
      <c r="GL53" s="816"/>
      <c r="GM53" s="816"/>
      <c r="GN53" s="816"/>
      <c r="GO53" s="816"/>
      <c r="GP53" s="816"/>
      <c r="GQ53" s="816"/>
      <c r="GR53" s="816"/>
      <c r="GS53" s="816"/>
      <c r="GT53" s="816"/>
      <c r="GU53" s="816"/>
      <c r="GV53" s="816"/>
      <c r="GW53" s="816"/>
      <c r="GX53" s="816"/>
      <c r="GY53" s="816"/>
      <c r="GZ53" s="816"/>
      <c r="HA53" s="816"/>
      <c r="HB53" s="816"/>
      <c r="HC53" s="816"/>
      <c r="HD53" s="816"/>
      <c r="HE53" s="816"/>
      <c r="HF53" s="816"/>
      <c r="HG53" s="816"/>
      <c r="HH53" s="816"/>
      <c r="HI53" s="816"/>
      <c r="HJ53" s="816"/>
      <c r="HK53" s="816"/>
      <c r="HL53" s="816"/>
      <c r="HM53" s="816"/>
      <c r="HN53" s="816"/>
      <c r="HO53" s="816"/>
      <c r="HP53" s="816"/>
      <c r="HQ53" s="816"/>
      <c r="HR53" s="816"/>
      <c r="HS53" s="816"/>
      <c r="HT53" s="816"/>
      <c r="HU53" s="816"/>
      <c r="HV53" s="816"/>
      <c r="HW53" s="816"/>
      <c r="HX53" s="816"/>
      <c r="HY53" s="816"/>
      <c r="HZ53" s="816"/>
      <c r="IA53" s="816"/>
      <c r="IB53" s="816"/>
      <c r="IC53" s="816"/>
      <c r="ID53" s="816"/>
      <c r="IE53" s="816"/>
      <c r="IF53" s="816"/>
      <c r="IG53" s="816"/>
      <c r="IH53" s="816"/>
      <c r="II53" s="816"/>
      <c r="IJ53" s="816"/>
      <c r="IK53" s="816"/>
      <c r="IL53" s="816"/>
      <c r="IM53" s="816"/>
      <c r="IN53" s="816"/>
      <c r="IO53" s="816"/>
      <c r="IP53" s="816"/>
      <c r="IQ53" s="816"/>
      <c r="IR53" s="816"/>
      <c r="IS53" s="816"/>
      <c r="IT53" s="816"/>
      <c r="IU53" s="816"/>
      <c r="IV53" s="816"/>
    </row>
    <row r="54" spans="1:256">
      <c r="A54" s="820">
        <f t="shared" si="9"/>
        <v>34</v>
      </c>
      <c r="B54" s="817" t="s">
        <v>516</v>
      </c>
      <c r="C54" s="829">
        <f t="shared" si="10"/>
        <v>0</v>
      </c>
      <c r="D54" s="829">
        <f t="shared" si="11"/>
        <v>0</v>
      </c>
      <c r="E54" s="817">
        <v>31</v>
      </c>
      <c r="F54" s="711">
        <v>62</v>
      </c>
      <c r="G54" s="830">
        <f t="shared" si="6"/>
        <v>0.16986301369863013</v>
      </c>
      <c r="H54" s="829">
        <f t="shared" si="7"/>
        <v>0</v>
      </c>
      <c r="I54" s="829">
        <f t="shared" si="12"/>
        <v>0</v>
      </c>
      <c r="J54" s="816"/>
      <c r="K54" s="816"/>
      <c r="L54" s="816"/>
      <c r="M54" s="816"/>
      <c r="N54" s="816"/>
      <c r="O54" s="816"/>
      <c r="P54" s="816"/>
      <c r="Q54" s="816"/>
      <c r="R54" s="816"/>
      <c r="S54" s="816"/>
      <c r="T54" s="816"/>
      <c r="U54" s="816"/>
      <c r="V54" s="816"/>
      <c r="W54" s="816"/>
      <c r="X54" s="816"/>
      <c r="Y54" s="816"/>
      <c r="Z54" s="816"/>
      <c r="AA54" s="816"/>
      <c r="AB54" s="816"/>
      <c r="AC54" s="816"/>
      <c r="AD54" s="816"/>
      <c r="AE54" s="816"/>
      <c r="AF54" s="816"/>
      <c r="AG54" s="816"/>
      <c r="AH54" s="816"/>
      <c r="AI54" s="816"/>
      <c r="AJ54" s="816"/>
      <c r="AK54" s="816"/>
      <c r="AL54" s="816"/>
      <c r="AM54" s="816"/>
      <c r="AN54" s="816"/>
      <c r="AO54" s="816"/>
      <c r="AP54" s="816"/>
      <c r="AQ54" s="816"/>
      <c r="AR54" s="816"/>
      <c r="AS54" s="816"/>
      <c r="AT54" s="816"/>
      <c r="AU54" s="816"/>
      <c r="AV54" s="816"/>
      <c r="AW54" s="816"/>
      <c r="AX54" s="816"/>
      <c r="AY54" s="816"/>
      <c r="AZ54" s="816"/>
      <c r="BA54" s="816"/>
      <c r="BB54" s="816"/>
      <c r="BC54" s="816"/>
      <c r="BD54" s="816"/>
      <c r="BE54" s="816"/>
      <c r="BF54" s="816"/>
      <c r="BG54" s="816"/>
      <c r="BH54" s="816"/>
      <c r="BI54" s="816"/>
      <c r="BJ54" s="816"/>
      <c r="BK54" s="816"/>
      <c r="BL54" s="816"/>
      <c r="BM54" s="816"/>
      <c r="BN54" s="816"/>
      <c r="BO54" s="816"/>
      <c r="BP54" s="816"/>
      <c r="BQ54" s="816"/>
      <c r="BR54" s="816"/>
      <c r="BS54" s="816"/>
      <c r="BT54" s="816"/>
      <c r="BU54" s="816"/>
      <c r="BV54" s="816"/>
      <c r="BW54" s="816"/>
      <c r="BX54" s="816"/>
      <c r="BY54" s="816"/>
      <c r="BZ54" s="816"/>
      <c r="CA54" s="816"/>
      <c r="CB54" s="816"/>
      <c r="CC54" s="816"/>
      <c r="CD54" s="816"/>
      <c r="CE54" s="816"/>
      <c r="CF54" s="816"/>
      <c r="CG54" s="816"/>
      <c r="CH54" s="816"/>
      <c r="CI54" s="816"/>
      <c r="CJ54" s="816"/>
      <c r="CK54" s="816"/>
      <c r="CL54" s="816"/>
      <c r="CM54" s="816"/>
      <c r="CN54" s="816"/>
      <c r="CO54" s="816"/>
      <c r="CP54" s="816"/>
      <c r="CQ54" s="816"/>
      <c r="CR54" s="816"/>
      <c r="CS54" s="816"/>
      <c r="CT54" s="816"/>
      <c r="CU54" s="816"/>
      <c r="CV54" s="816"/>
      <c r="CW54" s="816"/>
      <c r="CX54" s="816"/>
      <c r="CY54" s="816"/>
      <c r="CZ54" s="816"/>
      <c r="DA54" s="816"/>
      <c r="DB54" s="816"/>
      <c r="DC54" s="816"/>
      <c r="DD54" s="816"/>
      <c r="DE54" s="816"/>
      <c r="DF54" s="816"/>
      <c r="DG54" s="816"/>
      <c r="DH54" s="816"/>
      <c r="DI54" s="816"/>
      <c r="DJ54" s="816"/>
      <c r="DK54" s="816"/>
      <c r="DL54" s="816"/>
      <c r="DM54" s="816"/>
      <c r="DN54" s="816"/>
      <c r="DO54" s="816"/>
      <c r="DP54" s="816"/>
      <c r="DQ54" s="816"/>
      <c r="DR54" s="816"/>
      <c r="DS54" s="816"/>
      <c r="DT54" s="816"/>
      <c r="DU54" s="816"/>
      <c r="DV54" s="816"/>
      <c r="DW54" s="816"/>
      <c r="DX54" s="816"/>
      <c r="DY54" s="816"/>
      <c r="DZ54" s="816"/>
      <c r="EA54" s="816"/>
      <c r="EB54" s="816"/>
      <c r="EC54" s="816"/>
      <c r="ED54" s="816"/>
      <c r="EE54" s="816"/>
      <c r="EF54" s="816"/>
      <c r="EG54" s="816"/>
      <c r="EH54" s="816"/>
      <c r="EI54" s="816"/>
      <c r="EJ54" s="816"/>
      <c r="EK54" s="816"/>
      <c r="EL54" s="816"/>
      <c r="EM54" s="816"/>
      <c r="EN54" s="816"/>
      <c r="EO54" s="816"/>
      <c r="EP54" s="816"/>
      <c r="EQ54" s="816"/>
      <c r="ER54" s="816"/>
      <c r="ES54" s="816"/>
      <c r="ET54" s="816"/>
      <c r="EU54" s="816"/>
      <c r="EV54" s="816"/>
      <c r="EW54" s="816"/>
      <c r="EX54" s="816"/>
      <c r="EY54" s="816"/>
      <c r="EZ54" s="816"/>
      <c r="FA54" s="816"/>
      <c r="FB54" s="816"/>
      <c r="FC54" s="816"/>
      <c r="FD54" s="816"/>
      <c r="FE54" s="816"/>
      <c r="FF54" s="816"/>
      <c r="FG54" s="816"/>
      <c r="FH54" s="816"/>
      <c r="FI54" s="816"/>
      <c r="FJ54" s="816"/>
      <c r="FK54" s="816"/>
      <c r="FL54" s="816"/>
      <c r="FM54" s="816"/>
      <c r="FN54" s="816"/>
      <c r="FO54" s="816"/>
      <c r="FP54" s="816"/>
      <c r="FQ54" s="816"/>
      <c r="FR54" s="816"/>
      <c r="FS54" s="816"/>
      <c r="FT54" s="816"/>
      <c r="FU54" s="816"/>
      <c r="FV54" s="816"/>
      <c r="FW54" s="816"/>
      <c r="FX54" s="816"/>
      <c r="FY54" s="816"/>
      <c r="FZ54" s="816"/>
      <c r="GA54" s="816"/>
      <c r="GB54" s="816"/>
      <c r="GC54" s="816"/>
      <c r="GD54" s="816"/>
      <c r="GE54" s="816"/>
      <c r="GF54" s="816"/>
      <c r="GG54" s="816"/>
      <c r="GH54" s="816"/>
      <c r="GI54" s="816"/>
      <c r="GJ54" s="816"/>
      <c r="GK54" s="816"/>
      <c r="GL54" s="816"/>
      <c r="GM54" s="816"/>
      <c r="GN54" s="816"/>
      <c r="GO54" s="816"/>
      <c r="GP54" s="816"/>
      <c r="GQ54" s="816"/>
      <c r="GR54" s="816"/>
      <c r="GS54" s="816"/>
      <c r="GT54" s="816"/>
      <c r="GU54" s="816"/>
      <c r="GV54" s="816"/>
      <c r="GW54" s="816"/>
      <c r="GX54" s="816"/>
      <c r="GY54" s="816"/>
      <c r="GZ54" s="816"/>
      <c r="HA54" s="816"/>
      <c r="HB54" s="816"/>
      <c r="HC54" s="816"/>
      <c r="HD54" s="816"/>
      <c r="HE54" s="816"/>
      <c r="HF54" s="816"/>
      <c r="HG54" s="816"/>
      <c r="HH54" s="816"/>
      <c r="HI54" s="816"/>
      <c r="HJ54" s="816"/>
      <c r="HK54" s="816"/>
      <c r="HL54" s="816"/>
      <c r="HM54" s="816"/>
      <c r="HN54" s="816"/>
      <c r="HO54" s="816"/>
      <c r="HP54" s="816"/>
      <c r="HQ54" s="816"/>
      <c r="HR54" s="816"/>
      <c r="HS54" s="816"/>
      <c r="HT54" s="816"/>
      <c r="HU54" s="816"/>
      <c r="HV54" s="816"/>
      <c r="HW54" s="816"/>
      <c r="HX54" s="816"/>
      <c r="HY54" s="816"/>
      <c r="HZ54" s="816"/>
      <c r="IA54" s="816"/>
      <c r="IB54" s="816"/>
      <c r="IC54" s="816"/>
      <c r="ID54" s="816"/>
      <c r="IE54" s="816"/>
      <c r="IF54" s="816"/>
      <c r="IG54" s="816"/>
      <c r="IH54" s="816"/>
      <c r="II54" s="816"/>
      <c r="IJ54" s="816"/>
      <c r="IK54" s="816"/>
      <c r="IL54" s="816"/>
      <c r="IM54" s="816"/>
      <c r="IN54" s="816"/>
      <c r="IO54" s="816"/>
      <c r="IP54" s="816"/>
      <c r="IQ54" s="816"/>
      <c r="IR54" s="816"/>
      <c r="IS54" s="816"/>
      <c r="IT54" s="816"/>
      <c r="IU54" s="816"/>
      <c r="IV54" s="816"/>
    </row>
    <row r="55" spans="1:256">
      <c r="A55" s="820">
        <f t="shared" si="9"/>
        <v>35</v>
      </c>
      <c r="B55" s="817" t="s">
        <v>517</v>
      </c>
      <c r="C55" s="829">
        <f t="shared" si="10"/>
        <v>0</v>
      </c>
      <c r="D55" s="829">
        <f t="shared" si="11"/>
        <v>0</v>
      </c>
      <c r="E55" s="817">
        <v>30</v>
      </c>
      <c r="F55" s="711">
        <v>32</v>
      </c>
      <c r="G55" s="830">
        <f t="shared" si="6"/>
        <v>8.7671232876712329E-2</v>
      </c>
      <c r="H55" s="829">
        <f t="shared" si="7"/>
        <v>0</v>
      </c>
      <c r="I55" s="829">
        <f t="shared" si="12"/>
        <v>0</v>
      </c>
      <c r="J55" s="816"/>
      <c r="K55" s="816"/>
      <c r="L55" s="816"/>
      <c r="M55" s="816"/>
      <c r="N55" s="816"/>
      <c r="O55" s="816"/>
      <c r="P55" s="816"/>
      <c r="Q55" s="816"/>
      <c r="R55" s="816"/>
      <c r="S55" s="816"/>
      <c r="T55" s="816"/>
      <c r="U55" s="816"/>
      <c r="V55" s="816"/>
      <c r="W55" s="816"/>
      <c r="X55" s="816"/>
      <c r="Y55" s="816"/>
      <c r="Z55" s="816"/>
      <c r="AA55" s="816"/>
      <c r="AB55" s="816"/>
      <c r="AC55" s="816"/>
      <c r="AD55" s="816"/>
      <c r="AE55" s="816"/>
      <c r="AF55" s="816"/>
      <c r="AG55" s="816"/>
      <c r="AH55" s="816"/>
      <c r="AI55" s="816"/>
      <c r="AJ55" s="816"/>
      <c r="AK55" s="816"/>
      <c r="AL55" s="816"/>
      <c r="AM55" s="816"/>
      <c r="AN55" s="816"/>
      <c r="AO55" s="816"/>
      <c r="AP55" s="816"/>
      <c r="AQ55" s="816"/>
      <c r="AR55" s="816"/>
      <c r="AS55" s="816"/>
      <c r="AT55" s="816"/>
      <c r="AU55" s="816"/>
      <c r="AV55" s="816"/>
      <c r="AW55" s="816"/>
      <c r="AX55" s="816"/>
      <c r="AY55" s="816"/>
      <c r="AZ55" s="816"/>
      <c r="BA55" s="816"/>
      <c r="BB55" s="816"/>
      <c r="BC55" s="816"/>
      <c r="BD55" s="816"/>
      <c r="BE55" s="816"/>
      <c r="BF55" s="816"/>
      <c r="BG55" s="816"/>
      <c r="BH55" s="816"/>
      <c r="BI55" s="816"/>
      <c r="BJ55" s="816"/>
      <c r="BK55" s="816"/>
      <c r="BL55" s="816"/>
      <c r="BM55" s="816"/>
      <c r="BN55" s="816"/>
      <c r="BO55" s="816"/>
      <c r="BP55" s="816"/>
      <c r="BQ55" s="816"/>
      <c r="BR55" s="816"/>
      <c r="BS55" s="816"/>
      <c r="BT55" s="816"/>
      <c r="BU55" s="816"/>
      <c r="BV55" s="816"/>
      <c r="BW55" s="816"/>
      <c r="BX55" s="816"/>
      <c r="BY55" s="816"/>
      <c r="BZ55" s="816"/>
      <c r="CA55" s="816"/>
      <c r="CB55" s="816"/>
      <c r="CC55" s="816"/>
      <c r="CD55" s="816"/>
      <c r="CE55" s="816"/>
      <c r="CF55" s="816"/>
      <c r="CG55" s="816"/>
      <c r="CH55" s="816"/>
      <c r="CI55" s="816"/>
      <c r="CJ55" s="816"/>
      <c r="CK55" s="816"/>
      <c r="CL55" s="816"/>
      <c r="CM55" s="816"/>
      <c r="CN55" s="816"/>
      <c r="CO55" s="816"/>
      <c r="CP55" s="816"/>
      <c r="CQ55" s="816"/>
      <c r="CR55" s="816"/>
      <c r="CS55" s="816"/>
      <c r="CT55" s="816"/>
      <c r="CU55" s="816"/>
      <c r="CV55" s="816"/>
      <c r="CW55" s="816"/>
      <c r="CX55" s="816"/>
      <c r="CY55" s="816"/>
      <c r="CZ55" s="816"/>
      <c r="DA55" s="816"/>
      <c r="DB55" s="816"/>
      <c r="DC55" s="816"/>
      <c r="DD55" s="816"/>
      <c r="DE55" s="816"/>
      <c r="DF55" s="816"/>
      <c r="DG55" s="816"/>
      <c r="DH55" s="816"/>
      <c r="DI55" s="816"/>
      <c r="DJ55" s="816"/>
      <c r="DK55" s="816"/>
      <c r="DL55" s="816"/>
      <c r="DM55" s="816"/>
      <c r="DN55" s="816"/>
      <c r="DO55" s="816"/>
      <c r="DP55" s="816"/>
      <c r="DQ55" s="816"/>
      <c r="DR55" s="816"/>
      <c r="DS55" s="816"/>
      <c r="DT55" s="816"/>
      <c r="DU55" s="816"/>
      <c r="DV55" s="816"/>
      <c r="DW55" s="816"/>
      <c r="DX55" s="816"/>
      <c r="DY55" s="816"/>
      <c r="DZ55" s="816"/>
      <c r="EA55" s="816"/>
      <c r="EB55" s="816"/>
      <c r="EC55" s="816"/>
      <c r="ED55" s="816"/>
      <c r="EE55" s="816"/>
      <c r="EF55" s="816"/>
      <c r="EG55" s="816"/>
      <c r="EH55" s="816"/>
      <c r="EI55" s="816"/>
      <c r="EJ55" s="816"/>
      <c r="EK55" s="816"/>
      <c r="EL55" s="816"/>
      <c r="EM55" s="816"/>
      <c r="EN55" s="816"/>
      <c r="EO55" s="816"/>
      <c r="EP55" s="816"/>
      <c r="EQ55" s="816"/>
      <c r="ER55" s="816"/>
      <c r="ES55" s="816"/>
      <c r="ET55" s="816"/>
      <c r="EU55" s="816"/>
      <c r="EV55" s="816"/>
      <c r="EW55" s="816"/>
      <c r="EX55" s="816"/>
      <c r="EY55" s="816"/>
      <c r="EZ55" s="816"/>
      <c r="FA55" s="816"/>
      <c r="FB55" s="816"/>
      <c r="FC55" s="816"/>
      <c r="FD55" s="816"/>
      <c r="FE55" s="816"/>
      <c r="FF55" s="816"/>
      <c r="FG55" s="816"/>
      <c r="FH55" s="816"/>
      <c r="FI55" s="816"/>
      <c r="FJ55" s="816"/>
      <c r="FK55" s="816"/>
      <c r="FL55" s="816"/>
      <c r="FM55" s="816"/>
      <c r="FN55" s="816"/>
      <c r="FO55" s="816"/>
      <c r="FP55" s="816"/>
      <c r="FQ55" s="816"/>
      <c r="FR55" s="816"/>
      <c r="FS55" s="816"/>
      <c r="FT55" s="816"/>
      <c r="FU55" s="816"/>
      <c r="FV55" s="816"/>
      <c r="FW55" s="816"/>
      <c r="FX55" s="816"/>
      <c r="FY55" s="816"/>
      <c r="FZ55" s="816"/>
      <c r="GA55" s="816"/>
      <c r="GB55" s="816"/>
      <c r="GC55" s="816"/>
      <c r="GD55" s="816"/>
      <c r="GE55" s="816"/>
      <c r="GF55" s="816"/>
      <c r="GG55" s="816"/>
      <c r="GH55" s="816"/>
      <c r="GI55" s="816"/>
      <c r="GJ55" s="816"/>
      <c r="GK55" s="816"/>
      <c r="GL55" s="816"/>
      <c r="GM55" s="816"/>
      <c r="GN55" s="816"/>
      <c r="GO55" s="816"/>
      <c r="GP55" s="816"/>
      <c r="GQ55" s="816"/>
      <c r="GR55" s="816"/>
      <c r="GS55" s="816"/>
      <c r="GT55" s="816"/>
      <c r="GU55" s="816"/>
      <c r="GV55" s="816"/>
      <c r="GW55" s="816"/>
      <c r="GX55" s="816"/>
      <c r="GY55" s="816"/>
      <c r="GZ55" s="816"/>
      <c r="HA55" s="816"/>
      <c r="HB55" s="816"/>
      <c r="HC55" s="816"/>
      <c r="HD55" s="816"/>
      <c r="HE55" s="816"/>
      <c r="HF55" s="816"/>
      <c r="HG55" s="816"/>
      <c r="HH55" s="816"/>
      <c r="HI55" s="816"/>
      <c r="HJ55" s="816"/>
      <c r="HK55" s="816"/>
      <c r="HL55" s="816"/>
      <c r="HM55" s="816"/>
      <c r="HN55" s="816"/>
      <c r="HO55" s="816"/>
      <c r="HP55" s="816"/>
      <c r="HQ55" s="816"/>
      <c r="HR55" s="816"/>
      <c r="HS55" s="816"/>
      <c r="HT55" s="816"/>
      <c r="HU55" s="816"/>
      <c r="HV55" s="816"/>
      <c r="HW55" s="816"/>
      <c r="HX55" s="816"/>
      <c r="HY55" s="816"/>
      <c r="HZ55" s="816"/>
      <c r="IA55" s="816"/>
      <c r="IB55" s="816"/>
      <c r="IC55" s="816"/>
      <c r="ID55" s="816"/>
      <c r="IE55" s="816"/>
      <c r="IF55" s="816"/>
      <c r="IG55" s="816"/>
      <c r="IH55" s="816"/>
      <c r="II55" s="816"/>
      <c r="IJ55" s="816"/>
      <c r="IK55" s="816"/>
      <c r="IL55" s="816"/>
      <c r="IM55" s="816"/>
      <c r="IN55" s="816"/>
      <c r="IO55" s="816"/>
      <c r="IP55" s="816"/>
      <c r="IQ55" s="816"/>
      <c r="IR55" s="816"/>
      <c r="IS55" s="816"/>
      <c r="IT55" s="816"/>
      <c r="IU55" s="816"/>
      <c r="IV55" s="816"/>
    </row>
    <row r="56" spans="1:256">
      <c r="A56" s="820">
        <f t="shared" si="9"/>
        <v>36</v>
      </c>
      <c r="B56" s="817" t="s">
        <v>328</v>
      </c>
      <c r="C56" s="829">
        <f t="shared" si="10"/>
        <v>0</v>
      </c>
      <c r="D56" s="829">
        <f t="shared" si="11"/>
        <v>0</v>
      </c>
      <c r="E56" s="817">
        <v>31</v>
      </c>
      <c r="F56" s="711">
        <f>F55-E56</f>
        <v>1</v>
      </c>
      <c r="G56" s="830">
        <f t="shared" si="6"/>
        <v>2.7397260273972603E-3</v>
      </c>
      <c r="H56" s="829">
        <f t="shared" si="7"/>
        <v>0</v>
      </c>
      <c r="I56" s="829">
        <f t="shared" si="12"/>
        <v>0</v>
      </c>
      <c r="J56" s="816"/>
      <c r="K56" s="816"/>
      <c r="L56" s="816"/>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6"/>
      <c r="AO56" s="816"/>
      <c r="AP56" s="816"/>
      <c r="AQ56" s="816"/>
      <c r="AR56" s="816"/>
      <c r="AS56" s="816"/>
      <c r="AT56" s="816"/>
      <c r="AU56" s="816"/>
      <c r="AV56" s="816"/>
      <c r="AW56" s="816"/>
      <c r="AX56" s="816"/>
      <c r="AY56" s="816"/>
      <c r="AZ56" s="816"/>
      <c r="BA56" s="816"/>
      <c r="BB56" s="816"/>
      <c r="BC56" s="816"/>
      <c r="BD56" s="816"/>
      <c r="BE56" s="816"/>
      <c r="BF56" s="816"/>
      <c r="BG56" s="816"/>
      <c r="BH56" s="816"/>
      <c r="BI56" s="816"/>
      <c r="BJ56" s="816"/>
      <c r="BK56" s="816"/>
      <c r="BL56" s="816"/>
      <c r="BM56" s="816"/>
      <c r="BN56" s="816"/>
      <c r="BO56" s="816"/>
      <c r="BP56" s="816"/>
      <c r="BQ56" s="816"/>
      <c r="BR56" s="816"/>
      <c r="BS56" s="816"/>
      <c r="BT56" s="816"/>
      <c r="BU56" s="816"/>
      <c r="BV56" s="816"/>
      <c r="BW56" s="816"/>
      <c r="BX56" s="816"/>
      <c r="BY56" s="816"/>
      <c r="BZ56" s="816"/>
      <c r="CA56" s="816"/>
      <c r="CB56" s="816"/>
      <c r="CC56" s="816"/>
      <c r="CD56" s="816"/>
      <c r="CE56" s="816"/>
      <c r="CF56" s="816"/>
      <c r="CG56" s="816"/>
      <c r="CH56" s="816"/>
      <c r="CI56" s="816"/>
      <c r="CJ56" s="816"/>
      <c r="CK56" s="816"/>
      <c r="CL56" s="816"/>
      <c r="CM56" s="816"/>
      <c r="CN56" s="816"/>
      <c r="CO56" s="816"/>
      <c r="CP56" s="816"/>
      <c r="CQ56" s="816"/>
      <c r="CR56" s="816"/>
      <c r="CS56" s="816"/>
      <c r="CT56" s="816"/>
      <c r="CU56" s="816"/>
      <c r="CV56" s="816"/>
      <c r="CW56" s="816"/>
      <c r="CX56" s="816"/>
      <c r="CY56" s="816"/>
      <c r="CZ56" s="816"/>
      <c r="DA56" s="816"/>
      <c r="DB56" s="816"/>
      <c r="DC56" s="816"/>
      <c r="DD56" s="816"/>
      <c r="DE56" s="816"/>
      <c r="DF56" s="816"/>
      <c r="DG56" s="816"/>
      <c r="DH56" s="816"/>
      <c r="DI56" s="816"/>
      <c r="DJ56" s="816"/>
      <c r="DK56" s="816"/>
      <c r="DL56" s="816"/>
      <c r="DM56" s="816"/>
      <c r="DN56" s="816"/>
      <c r="DO56" s="816"/>
      <c r="DP56" s="816"/>
      <c r="DQ56" s="816"/>
      <c r="DR56" s="816"/>
      <c r="DS56" s="816"/>
      <c r="DT56" s="816"/>
      <c r="DU56" s="816"/>
      <c r="DV56" s="816"/>
      <c r="DW56" s="816"/>
      <c r="DX56" s="816"/>
      <c r="DY56" s="816"/>
      <c r="DZ56" s="816"/>
      <c r="EA56" s="816"/>
      <c r="EB56" s="816"/>
      <c r="EC56" s="816"/>
      <c r="ED56" s="816"/>
      <c r="EE56" s="816"/>
      <c r="EF56" s="816"/>
      <c r="EG56" s="816"/>
      <c r="EH56" s="816"/>
      <c r="EI56" s="816"/>
      <c r="EJ56" s="816"/>
      <c r="EK56" s="816"/>
      <c r="EL56" s="816"/>
      <c r="EM56" s="816"/>
      <c r="EN56" s="816"/>
      <c r="EO56" s="816"/>
      <c r="EP56" s="816"/>
      <c r="EQ56" s="816"/>
      <c r="ER56" s="816"/>
      <c r="ES56" s="816"/>
      <c r="ET56" s="816"/>
      <c r="EU56" s="816"/>
      <c r="EV56" s="816"/>
      <c r="EW56" s="816"/>
      <c r="EX56" s="816"/>
      <c r="EY56" s="816"/>
      <c r="EZ56" s="816"/>
      <c r="FA56" s="816"/>
      <c r="FB56" s="816"/>
      <c r="FC56" s="816"/>
      <c r="FD56" s="816"/>
      <c r="FE56" s="816"/>
      <c r="FF56" s="816"/>
      <c r="FG56" s="816"/>
      <c r="FH56" s="816"/>
      <c r="FI56" s="816"/>
      <c r="FJ56" s="816"/>
      <c r="FK56" s="816"/>
      <c r="FL56" s="816"/>
      <c r="FM56" s="816"/>
      <c r="FN56" s="816"/>
      <c r="FO56" s="816"/>
      <c r="FP56" s="816"/>
      <c r="FQ56" s="816"/>
      <c r="FR56" s="816"/>
      <c r="FS56" s="816"/>
      <c r="FT56" s="816"/>
      <c r="FU56" s="816"/>
      <c r="FV56" s="816"/>
      <c r="FW56" s="816"/>
      <c r="FX56" s="816"/>
      <c r="FY56" s="816"/>
      <c r="FZ56" s="816"/>
      <c r="GA56" s="816"/>
      <c r="GB56" s="816"/>
      <c r="GC56" s="816"/>
      <c r="GD56" s="816"/>
      <c r="GE56" s="816"/>
      <c r="GF56" s="816"/>
      <c r="GG56" s="816"/>
      <c r="GH56" s="816"/>
      <c r="GI56" s="816"/>
      <c r="GJ56" s="816"/>
      <c r="GK56" s="816"/>
      <c r="GL56" s="816"/>
      <c r="GM56" s="816"/>
      <c r="GN56" s="816"/>
      <c r="GO56" s="816"/>
      <c r="GP56" s="816"/>
      <c r="GQ56" s="816"/>
      <c r="GR56" s="816"/>
      <c r="GS56" s="816"/>
      <c r="GT56" s="816"/>
      <c r="GU56" s="816"/>
      <c r="GV56" s="816"/>
      <c r="GW56" s="816"/>
      <c r="GX56" s="816"/>
      <c r="GY56" s="816"/>
      <c r="GZ56" s="816"/>
      <c r="HA56" s="816"/>
      <c r="HB56" s="816"/>
      <c r="HC56" s="816"/>
      <c r="HD56" s="816"/>
      <c r="HE56" s="816"/>
      <c r="HF56" s="816"/>
      <c r="HG56" s="816"/>
      <c r="HH56" s="816"/>
      <c r="HI56" s="816"/>
      <c r="HJ56" s="816"/>
      <c r="HK56" s="816"/>
      <c r="HL56" s="816"/>
      <c r="HM56" s="816"/>
      <c r="HN56" s="816"/>
      <c r="HO56" s="816"/>
      <c r="HP56" s="816"/>
      <c r="HQ56" s="816"/>
      <c r="HR56" s="816"/>
      <c r="HS56" s="816"/>
      <c r="HT56" s="816"/>
      <c r="HU56" s="816"/>
      <c r="HV56" s="816"/>
      <c r="HW56" s="816"/>
      <c r="HX56" s="816"/>
      <c r="HY56" s="816"/>
      <c r="HZ56" s="816"/>
      <c r="IA56" s="816"/>
      <c r="IB56" s="816"/>
      <c r="IC56" s="816"/>
      <c r="ID56" s="816"/>
      <c r="IE56" s="816"/>
      <c r="IF56" s="816"/>
      <c r="IG56" s="816"/>
      <c r="IH56" s="816"/>
      <c r="II56" s="816"/>
      <c r="IJ56" s="816"/>
      <c r="IK56" s="816"/>
      <c r="IL56" s="816"/>
      <c r="IM56" s="816"/>
      <c r="IN56" s="816"/>
      <c r="IO56" s="816"/>
      <c r="IP56" s="816"/>
      <c r="IQ56" s="816"/>
      <c r="IR56" s="816"/>
      <c r="IS56" s="816"/>
      <c r="IT56" s="816"/>
      <c r="IU56" s="816"/>
      <c r="IV56" s="816"/>
    </row>
    <row r="57" spans="1:256">
      <c r="A57" s="820"/>
      <c r="B57" s="817"/>
      <c r="C57" s="831"/>
      <c r="D57" s="831"/>
      <c r="E57" s="817"/>
      <c r="F57" s="817"/>
      <c r="G57" s="817"/>
      <c r="H57" s="831"/>
      <c r="I57" s="831"/>
      <c r="J57" s="816"/>
      <c r="K57" s="816"/>
      <c r="L57" s="816"/>
      <c r="M57" s="816"/>
      <c r="N57" s="816"/>
      <c r="O57" s="816"/>
      <c r="P57" s="816"/>
      <c r="Q57" s="816"/>
      <c r="R57" s="816"/>
      <c r="S57" s="816"/>
      <c r="T57" s="816"/>
      <c r="U57" s="816"/>
      <c r="V57" s="816"/>
      <c r="W57" s="816"/>
      <c r="X57" s="816"/>
      <c r="Y57" s="816"/>
      <c r="Z57" s="816"/>
      <c r="AA57" s="816"/>
      <c r="AB57" s="816"/>
      <c r="AC57" s="816"/>
      <c r="AD57" s="816"/>
      <c r="AE57" s="816"/>
      <c r="AF57" s="816"/>
      <c r="AG57" s="816"/>
      <c r="AH57" s="816"/>
      <c r="AI57" s="816"/>
      <c r="AJ57" s="816"/>
      <c r="AK57" s="816"/>
      <c r="AL57" s="816"/>
      <c r="AM57" s="816"/>
      <c r="AN57" s="816"/>
      <c r="AO57" s="816"/>
      <c r="AP57" s="816"/>
      <c r="AQ57" s="816"/>
      <c r="AR57" s="816"/>
      <c r="AS57" s="816"/>
      <c r="AT57" s="816"/>
      <c r="AU57" s="816"/>
      <c r="AV57" s="816"/>
      <c r="AW57" s="816"/>
      <c r="AX57" s="816"/>
      <c r="AY57" s="816"/>
      <c r="AZ57" s="816"/>
      <c r="BA57" s="816"/>
      <c r="BB57" s="816"/>
      <c r="BC57" s="816"/>
      <c r="BD57" s="816"/>
      <c r="BE57" s="816"/>
      <c r="BF57" s="816"/>
      <c r="BG57" s="816"/>
      <c r="BH57" s="816"/>
      <c r="BI57" s="816"/>
      <c r="BJ57" s="816"/>
      <c r="BK57" s="816"/>
      <c r="BL57" s="816"/>
      <c r="BM57" s="816"/>
      <c r="BN57" s="816"/>
      <c r="BO57" s="816"/>
      <c r="BP57" s="816"/>
      <c r="BQ57" s="816"/>
      <c r="BR57" s="816"/>
      <c r="BS57" s="816"/>
      <c r="BT57" s="816"/>
      <c r="BU57" s="816"/>
      <c r="BV57" s="816"/>
      <c r="BW57" s="816"/>
      <c r="BX57" s="816"/>
      <c r="BY57" s="816"/>
      <c r="BZ57" s="816"/>
      <c r="CA57" s="816"/>
      <c r="CB57" s="816"/>
      <c r="CC57" s="816"/>
      <c r="CD57" s="816"/>
      <c r="CE57" s="816"/>
      <c r="CF57" s="816"/>
      <c r="CG57" s="816"/>
      <c r="CH57" s="816"/>
      <c r="CI57" s="816"/>
      <c r="CJ57" s="816"/>
      <c r="CK57" s="816"/>
      <c r="CL57" s="816"/>
      <c r="CM57" s="816"/>
      <c r="CN57" s="816"/>
      <c r="CO57" s="816"/>
      <c r="CP57" s="816"/>
      <c r="CQ57" s="816"/>
      <c r="CR57" s="816"/>
      <c r="CS57" s="816"/>
      <c r="CT57" s="816"/>
      <c r="CU57" s="816"/>
      <c r="CV57" s="816"/>
      <c r="CW57" s="816"/>
      <c r="CX57" s="816"/>
      <c r="CY57" s="816"/>
      <c r="CZ57" s="816"/>
      <c r="DA57" s="816"/>
      <c r="DB57" s="816"/>
      <c r="DC57" s="816"/>
      <c r="DD57" s="816"/>
      <c r="DE57" s="816"/>
      <c r="DF57" s="816"/>
      <c r="DG57" s="816"/>
      <c r="DH57" s="816"/>
      <c r="DI57" s="816"/>
      <c r="DJ57" s="816"/>
      <c r="DK57" s="816"/>
      <c r="DL57" s="816"/>
      <c r="DM57" s="816"/>
      <c r="DN57" s="816"/>
      <c r="DO57" s="816"/>
      <c r="DP57" s="816"/>
      <c r="DQ57" s="816"/>
      <c r="DR57" s="816"/>
      <c r="DS57" s="816"/>
      <c r="DT57" s="816"/>
      <c r="DU57" s="816"/>
      <c r="DV57" s="816"/>
      <c r="DW57" s="816"/>
      <c r="DX57" s="816"/>
      <c r="DY57" s="816"/>
      <c r="DZ57" s="816"/>
      <c r="EA57" s="816"/>
      <c r="EB57" s="816"/>
      <c r="EC57" s="816"/>
      <c r="ED57" s="816"/>
      <c r="EE57" s="816"/>
      <c r="EF57" s="816"/>
      <c r="EG57" s="816"/>
      <c r="EH57" s="816"/>
      <c r="EI57" s="816"/>
      <c r="EJ57" s="816"/>
      <c r="EK57" s="816"/>
      <c r="EL57" s="816"/>
      <c r="EM57" s="816"/>
      <c r="EN57" s="816"/>
      <c r="EO57" s="816"/>
      <c r="EP57" s="816"/>
      <c r="EQ57" s="816"/>
      <c r="ER57" s="816"/>
      <c r="ES57" s="816"/>
      <c r="ET57" s="816"/>
      <c r="EU57" s="816"/>
      <c r="EV57" s="816"/>
      <c r="EW57" s="816"/>
      <c r="EX57" s="816"/>
      <c r="EY57" s="816"/>
      <c r="EZ57" s="816"/>
      <c r="FA57" s="816"/>
      <c r="FB57" s="816"/>
      <c r="FC57" s="816"/>
      <c r="FD57" s="816"/>
      <c r="FE57" s="816"/>
      <c r="FF57" s="816"/>
      <c r="FG57" s="816"/>
      <c r="FH57" s="816"/>
      <c r="FI57" s="816"/>
      <c r="FJ57" s="816"/>
      <c r="FK57" s="816"/>
      <c r="FL57" s="816"/>
      <c r="FM57" s="816"/>
      <c r="FN57" s="816"/>
      <c r="FO57" s="816"/>
      <c r="FP57" s="816"/>
      <c r="FQ57" s="816"/>
      <c r="FR57" s="816"/>
      <c r="FS57" s="816"/>
      <c r="FT57" s="816"/>
      <c r="FU57" s="816"/>
      <c r="FV57" s="816"/>
      <c r="FW57" s="816"/>
      <c r="FX57" s="816"/>
      <c r="FY57" s="816"/>
      <c r="FZ57" s="816"/>
      <c r="GA57" s="816"/>
      <c r="GB57" s="816"/>
      <c r="GC57" s="816"/>
      <c r="GD57" s="816"/>
      <c r="GE57" s="816"/>
      <c r="GF57" s="816"/>
      <c r="GG57" s="816"/>
      <c r="GH57" s="816"/>
      <c r="GI57" s="816"/>
      <c r="GJ57" s="816"/>
      <c r="GK57" s="816"/>
      <c r="GL57" s="816"/>
      <c r="GM57" s="816"/>
      <c r="GN57" s="816"/>
      <c r="GO57" s="816"/>
      <c r="GP57" s="816"/>
      <c r="GQ57" s="816"/>
      <c r="GR57" s="816"/>
      <c r="GS57" s="816"/>
      <c r="GT57" s="816"/>
      <c r="GU57" s="816"/>
      <c r="GV57" s="816"/>
      <c r="GW57" s="816"/>
      <c r="GX57" s="816"/>
      <c r="GY57" s="816"/>
      <c r="GZ57" s="816"/>
      <c r="HA57" s="816"/>
      <c r="HB57" s="816"/>
      <c r="HC57" s="816"/>
      <c r="HD57" s="816"/>
      <c r="HE57" s="816"/>
      <c r="HF57" s="816"/>
      <c r="HG57" s="816"/>
      <c r="HH57" s="816"/>
      <c r="HI57" s="816"/>
      <c r="HJ57" s="816"/>
      <c r="HK57" s="816"/>
      <c r="HL57" s="816"/>
      <c r="HM57" s="816"/>
      <c r="HN57" s="816"/>
      <c r="HO57" s="816"/>
      <c r="HP57" s="816"/>
      <c r="HQ57" s="816"/>
      <c r="HR57" s="816"/>
      <c r="HS57" s="816"/>
      <c r="HT57" s="816"/>
      <c r="HU57" s="816"/>
      <c r="HV57" s="816"/>
      <c r="HW57" s="816"/>
      <c r="HX57" s="816"/>
      <c r="HY57" s="816"/>
      <c r="HZ57" s="816"/>
      <c r="IA57" s="816"/>
      <c r="IB57" s="816"/>
      <c r="IC57" s="816"/>
      <c r="ID57" s="816"/>
      <c r="IE57" s="816"/>
      <c r="IF57" s="816"/>
      <c r="IG57" s="816"/>
      <c r="IH57" s="816"/>
      <c r="II57" s="816"/>
      <c r="IJ57" s="816"/>
      <c r="IK57" s="816"/>
      <c r="IL57" s="816"/>
      <c r="IM57" s="816"/>
      <c r="IN57" s="816"/>
      <c r="IO57" s="816"/>
      <c r="IP57" s="816"/>
      <c r="IQ57" s="816"/>
      <c r="IR57" s="816"/>
      <c r="IS57" s="816"/>
      <c r="IT57" s="816"/>
      <c r="IU57" s="816"/>
      <c r="IV57" s="816"/>
    </row>
    <row r="58" spans="1:256">
      <c r="A58" s="820">
        <f>+A56+1</f>
        <v>37</v>
      </c>
      <c r="B58" s="817" t="s">
        <v>518</v>
      </c>
      <c r="C58" s="831"/>
      <c r="D58" s="829">
        <f>+D56</f>
        <v>0</v>
      </c>
      <c r="E58" s="817"/>
      <c r="F58" s="817"/>
      <c r="G58" s="817"/>
      <c r="H58" s="831"/>
      <c r="I58" s="829">
        <f>+I56</f>
        <v>0</v>
      </c>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c r="AH58" s="816"/>
      <c r="AI58" s="816"/>
      <c r="AJ58" s="816"/>
      <c r="AK58" s="816"/>
      <c r="AL58" s="816"/>
      <c r="AM58" s="816"/>
      <c r="AN58" s="816"/>
      <c r="AO58" s="816"/>
      <c r="AP58" s="816"/>
      <c r="AQ58" s="816"/>
      <c r="AR58" s="816"/>
      <c r="AS58" s="816"/>
      <c r="AT58" s="816"/>
      <c r="AU58" s="816"/>
      <c r="AV58" s="816"/>
      <c r="AW58" s="816"/>
      <c r="AX58" s="816"/>
      <c r="AY58" s="816"/>
      <c r="AZ58" s="816"/>
      <c r="BA58" s="816"/>
      <c r="BB58" s="816"/>
      <c r="BC58" s="816"/>
      <c r="BD58" s="816"/>
      <c r="BE58" s="816"/>
      <c r="BF58" s="816"/>
      <c r="BG58" s="816"/>
      <c r="BH58" s="816"/>
      <c r="BI58" s="816"/>
      <c r="BJ58" s="816"/>
      <c r="BK58" s="816"/>
      <c r="BL58" s="816"/>
      <c r="BM58" s="816"/>
      <c r="BN58" s="816"/>
      <c r="BO58" s="816"/>
      <c r="BP58" s="816"/>
      <c r="BQ58" s="816"/>
      <c r="BR58" s="816"/>
      <c r="BS58" s="816"/>
      <c r="BT58" s="816"/>
      <c r="BU58" s="816"/>
      <c r="BV58" s="816"/>
      <c r="BW58" s="816"/>
      <c r="BX58" s="816"/>
      <c r="BY58" s="816"/>
      <c r="BZ58" s="816"/>
      <c r="CA58" s="816"/>
      <c r="CB58" s="816"/>
      <c r="CC58" s="816"/>
      <c r="CD58" s="816"/>
      <c r="CE58" s="816"/>
      <c r="CF58" s="816"/>
      <c r="CG58" s="816"/>
      <c r="CH58" s="816"/>
      <c r="CI58" s="816"/>
      <c r="CJ58" s="816"/>
      <c r="CK58" s="816"/>
      <c r="CL58" s="816"/>
      <c r="CM58" s="816"/>
      <c r="CN58" s="816"/>
      <c r="CO58" s="816"/>
      <c r="CP58" s="816"/>
      <c r="CQ58" s="816"/>
      <c r="CR58" s="816"/>
      <c r="CS58" s="816"/>
      <c r="CT58" s="816"/>
      <c r="CU58" s="816"/>
      <c r="CV58" s="816"/>
      <c r="CW58" s="816"/>
      <c r="CX58" s="816"/>
      <c r="CY58" s="816"/>
      <c r="CZ58" s="816"/>
      <c r="DA58" s="816"/>
      <c r="DB58" s="816"/>
      <c r="DC58" s="816"/>
      <c r="DD58" s="816"/>
      <c r="DE58" s="816"/>
      <c r="DF58" s="816"/>
      <c r="DG58" s="816"/>
      <c r="DH58" s="816"/>
      <c r="DI58" s="816"/>
      <c r="DJ58" s="816"/>
      <c r="DK58" s="816"/>
      <c r="DL58" s="816"/>
      <c r="DM58" s="816"/>
      <c r="DN58" s="816"/>
      <c r="DO58" s="816"/>
      <c r="DP58" s="816"/>
      <c r="DQ58" s="816"/>
      <c r="DR58" s="816"/>
      <c r="DS58" s="816"/>
      <c r="DT58" s="816"/>
      <c r="DU58" s="816"/>
      <c r="DV58" s="816"/>
      <c r="DW58" s="816"/>
      <c r="DX58" s="816"/>
      <c r="DY58" s="816"/>
      <c r="DZ58" s="816"/>
      <c r="EA58" s="816"/>
      <c r="EB58" s="816"/>
      <c r="EC58" s="816"/>
      <c r="ED58" s="816"/>
      <c r="EE58" s="816"/>
      <c r="EF58" s="816"/>
      <c r="EG58" s="816"/>
      <c r="EH58" s="816"/>
      <c r="EI58" s="816"/>
      <c r="EJ58" s="816"/>
      <c r="EK58" s="816"/>
      <c r="EL58" s="816"/>
      <c r="EM58" s="816"/>
      <c r="EN58" s="816"/>
      <c r="EO58" s="816"/>
      <c r="EP58" s="816"/>
      <c r="EQ58" s="816"/>
      <c r="ER58" s="816"/>
      <c r="ES58" s="816"/>
      <c r="ET58" s="816"/>
      <c r="EU58" s="816"/>
      <c r="EV58" s="816"/>
      <c r="EW58" s="816"/>
      <c r="EX58" s="816"/>
      <c r="EY58" s="816"/>
      <c r="EZ58" s="816"/>
      <c r="FA58" s="816"/>
      <c r="FB58" s="816"/>
      <c r="FC58" s="816"/>
      <c r="FD58" s="816"/>
      <c r="FE58" s="816"/>
      <c r="FF58" s="816"/>
      <c r="FG58" s="816"/>
      <c r="FH58" s="816"/>
      <c r="FI58" s="816"/>
      <c r="FJ58" s="816"/>
      <c r="FK58" s="816"/>
      <c r="FL58" s="816"/>
      <c r="FM58" s="816"/>
      <c r="FN58" s="816"/>
      <c r="FO58" s="816"/>
      <c r="FP58" s="816"/>
      <c r="FQ58" s="816"/>
      <c r="FR58" s="816"/>
      <c r="FS58" s="816"/>
      <c r="FT58" s="816"/>
      <c r="FU58" s="816"/>
      <c r="FV58" s="816"/>
      <c r="FW58" s="816"/>
      <c r="FX58" s="816"/>
      <c r="FY58" s="816"/>
      <c r="FZ58" s="816"/>
      <c r="GA58" s="816"/>
      <c r="GB58" s="816"/>
      <c r="GC58" s="816"/>
      <c r="GD58" s="816"/>
      <c r="GE58" s="816"/>
      <c r="GF58" s="816"/>
      <c r="GG58" s="816"/>
      <c r="GH58" s="816"/>
      <c r="GI58" s="816"/>
      <c r="GJ58" s="816"/>
      <c r="GK58" s="816"/>
      <c r="GL58" s="816"/>
      <c r="GM58" s="816"/>
      <c r="GN58" s="816"/>
      <c r="GO58" s="816"/>
      <c r="GP58" s="816"/>
      <c r="GQ58" s="816"/>
      <c r="GR58" s="816"/>
      <c r="GS58" s="816"/>
      <c r="GT58" s="816"/>
      <c r="GU58" s="816"/>
      <c r="GV58" s="816"/>
      <c r="GW58" s="816"/>
      <c r="GX58" s="816"/>
      <c r="GY58" s="816"/>
      <c r="GZ58" s="816"/>
      <c r="HA58" s="816"/>
      <c r="HB58" s="816"/>
      <c r="HC58" s="816"/>
      <c r="HD58" s="816"/>
      <c r="HE58" s="816"/>
      <c r="HF58" s="816"/>
      <c r="HG58" s="816"/>
      <c r="HH58" s="816"/>
      <c r="HI58" s="816"/>
      <c r="HJ58" s="816"/>
      <c r="HK58" s="816"/>
      <c r="HL58" s="816"/>
      <c r="HM58" s="816"/>
      <c r="HN58" s="816"/>
      <c r="HO58" s="816"/>
      <c r="HP58" s="816"/>
      <c r="HQ58" s="816"/>
      <c r="HR58" s="816"/>
      <c r="HS58" s="816"/>
      <c r="HT58" s="816"/>
      <c r="HU58" s="816"/>
      <c r="HV58" s="816"/>
      <c r="HW58" s="816"/>
      <c r="HX58" s="816"/>
      <c r="HY58" s="816"/>
      <c r="HZ58" s="816"/>
      <c r="IA58" s="816"/>
      <c r="IB58" s="816"/>
      <c r="IC58" s="816"/>
      <c r="ID58" s="816"/>
      <c r="IE58" s="816"/>
      <c r="IF58" s="816"/>
      <c r="IG58" s="816"/>
      <c r="IH58" s="816"/>
      <c r="II58" s="816"/>
      <c r="IJ58" s="816"/>
      <c r="IK58" s="816"/>
      <c r="IL58" s="816"/>
      <c r="IM58" s="816"/>
      <c r="IN58" s="816"/>
      <c r="IO58" s="816"/>
      <c r="IP58" s="816"/>
      <c r="IQ58" s="816"/>
      <c r="IR58" s="816"/>
      <c r="IS58" s="816"/>
      <c r="IT58" s="816"/>
      <c r="IU58" s="816"/>
      <c r="IV58" s="816"/>
    </row>
    <row r="59" spans="1:256">
      <c r="A59" s="820"/>
      <c r="B59" s="832"/>
      <c r="C59" s="832"/>
      <c r="D59" s="832"/>
      <c r="E59" s="832"/>
      <c r="F59" s="832"/>
      <c r="G59" s="832"/>
      <c r="H59" s="832"/>
      <c r="I59" s="832"/>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6"/>
      <c r="AR59" s="816"/>
      <c r="AS59" s="816"/>
      <c r="AT59" s="816"/>
      <c r="AU59" s="816"/>
      <c r="AV59" s="816"/>
      <c r="AW59" s="816"/>
      <c r="AX59" s="816"/>
      <c r="AY59" s="816"/>
      <c r="AZ59" s="816"/>
      <c r="BA59" s="816"/>
      <c r="BB59" s="816"/>
      <c r="BC59" s="816"/>
      <c r="BD59" s="816"/>
      <c r="BE59" s="816"/>
      <c r="BF59" s="816"/>
      <c r="BG59" s="816"/>
      <c r="BH59" s="816"/>
      <c r="BI59" s="816"/>
      <c r="BJ59" s="816"/>
      <c r="BK59" s="816"/>
      <c r="BL59" s="816"/>
      <c r="BM59" s="816"/>
      <c r="BN59" s="816"/>
      <c r="BO59" s="816"/>
      <c r="BP59" s="816"/>
      <c r="BQ59" s="816"/>
      <c r="BR59" s="816"/>
      <c r="BS59" s="816"/>
      <c r="BT59" s="816"/>
      <c r="BU59" s="816"/>
      <c r="BV59" s="816"/>
      <c r="BW59" s="816"/>
      <c r="BX59" s="816"/>
      <c r="BY59" s="816"/>
      <c r="BZ59" s="816"/>
      <c r="CA59" s="816"/>
      <c r="CB59" s="816"/>
      <c r="CC59" s="816"/>
      <c r="CD59" s="816"/>
      <c r="CE59" s="816"/>
      <c r="CF59" s="816"/>
      <c r="CG59" s="816"/>
      <c r="CH59" s="816"/>
      <c r="CI59" s="816"/>
      <c r="CJ59" s="816"/>
      <c r="CK59" s="816"/>
      <c r="CL59" s="816"/>
      <c r="CM59" s="816"/>
      <c r="CN59" s="816"/>
      <c r="CO59" s="816"/>
      <c r="CP59" s="816"/>
      <c r="CQ59" s="816"/>
      <c r="CR59" s="816"/>
      <c r="CS59" s="816"/>
      <c r="CT59" s="816"/>
      <c r="CU59" s="816"/>
      <c r="CV59" s="816"/>
      <c r="CW59" s="816"/>
      <c r="CX59" s="816"/>
      <c r="CY59" s="816"/>
      <c r="CZ59" s="816"/>
      <c r="DA59" s="816"/>
      <c r="DB59" s="816"/>
      <c r="DC59" s="816"/>
      <c r="DD59" s="816"/>
      <c r="DE59" s="816"/>
      <c r="DF59" s="816"/>
      <c r="DG59" s="816"/>
      <c r="DH59" s="816"/>
      <c r="DI59" s="816"/>
      <c r="DJ59" s="816"/>
      <c r="DK59" s="816"/>
      <c r="DL59" s="816"/>
      <c r="DM59" s="816"/>
      <c r="DN59" s="816"/>
      <c r="DO59" s="816"/>
      <c r="DP59" s="816"/>
      <c r="DQ59" s="816"/>
      <c r="DR59" s="816"/>
      <c r="DS59" s="816"/>
      <c r="DT59" s="816"/>
      <c r="DU59" s="816"/>
      <c r="DV59" s="816"/>
      <c r="DW59" s="816"/>
      <c r="DX59" s="816"/>
      <c r="DY59" s="816"/>
      <c r="DZ59" s="816"/>
      <c r="EA59" s="816"/>
      <c r="EB59" s="816"/>
      <c r="EC59" s="816"/>
      <c r="ED59" s="816"/>
      <c r="EE59" s="816"/>
      <c r="EF59" s="816"/>
      <c r="EG59" s="816"/>
      <c r="EH59" s="816"/>
      <c r="EI59" s="816"/>
      <c r="EJ59" s="816"/>
      <c r="EK59" s="816"/>
      <c r="EL59" s="816"/>
      <c r="EM59" s="816"/>
      <c r="EN59" s="816"/>
      <c r="EO59" s="816"/>
      <c r="EP59" s="816"/>
      <c r="EQ59" s="816"/>
      <c r="ER59" s="816"/>
      <c r="ES59" s="816"/>
      <c r="ET59" s="816"/>
      <c r="EU59" s="816"/>
      <c r="EV59" s="816"/>
      <c r="EW59" s="816"/>
      <c r="EX59" s="816"/>
      <c r="EY59" s="816"/>
      <c r="EZ59" s="816"/>
      <c r="FA59" s="816"/>
      <c r="FB59" s="816"/>
      <c r="FC59" s="816"/>
      <c r="FD59" s="816"/>
      <c r="FE59" s="816"/>
      <c r="FF59" s="816"/>
      <c r="FG59" s="816"/>
      <c r="FH59" s="816"/>
      <c r="FI59" s="816"/>
      <c r="FJ59" s="816"/>
      <c r="FK59" s="816"/>
      <c r="FL59" s="816"/>
      <c r="FM59" s="816"/>
      <c r="FN59" s="816"/>
      <c r="FO59" s="816"/>
      <c r="FP59" s="816"/>
      <c r="FQ59" s="816"/>
      <c r="FR59" s="816"/>
      <c r="FS59" s="816"/>
      <c r="FT59" s="816"/>
      <c r="FU59" s="816"/>
      <c r="FV59" s="816"/>
      <c r="FW59" s="816"/>
      <c r="FX59" s="816"/>
      <c r="FY59" s="816"/>
      <c r="FZ59" s="816"/>
      <c r="GA59" s="816"/>
      <c r="GB59" s="816"/>
      <c r="GC59" s="816"/>
      <c r="GD59" s="816"/>
      <c r="GE59" s="816"/>
      <c r="GF59" s="816"/>
      <c r="GG59" s="816"/>
      <c r="GH59" s="816"/>
      <c r="GI59" s="816"/>
      <c r="GJ59" s="816"/>
      <c r="GK59" s="816"/>
      <c r="GL59" s="816"/>
      <c r="GM59" s="816"/>
      <c r="GN59" s="816"/>
      <c r="GO59" s="816"/>
      <c r="GP59" s="816"/>
      <c r="GQ59" s="816"/>
      <c r="GR59" s="816"/>
      <c r="GS59" s="816"/>
      <c r="GT59" s="816"/>
      <c r="GU59" s="816"/>
      <c r="GV59" s="816"/>
      <c r="GW59" s="816"/>
      <c r="GX59" s="816"/>
      <c r="GY59" s="816"/>
      <c r="GZ59" s="816"/>
      <c r="HA59" s="816"/>
      <c r="HB59" s="816"/>
      <c r="HC59" s="816"/>
      <c r="HD59" s="816"/>
      <c r="HE59" s="816"/>
      <c r="HF59" s="816"/>
      <c r="HG59" s="816"/>
      <c r="HH59" s="816"/>
      <c r="HI59" s="816"/>
      <c r="HJ59" s="816"/>
      <c r="HK59" s="816"/>
      <c r="HL59" s="816"/>
      <c r="HM59" s="816"/>
      <c r="HN59" s="816"/>
      <c r="HO59" s="816"/>
      <c r="HP59" s="816"/>
      <c r="HQ59" s="816"/>
      <c r="HR59" s="816"/>
      <c r="HS59" s="816"/>
      <c r="HT59" s="816"/>
      <c r="HU59" s="816"/>
      <c r="HV59" s="816"/>
      <c r="HW59" s="816"/>
      <c r="HX59" s="816"/>
      <c r="HY59" s="816"/>
      <c r="HZ59" s="816"/>
      <c r="IA59" s="816"/>
      <c r="IB59" s="816"/>
      <c r="IC59" s="816"/>
      <c r="ID59" s="816"/>
      <c r="IE59" s="816"/>
      <c r="IF59" s="816"/>
      <c r="IG59" s="816"/>
      <c r="IH59" s="816"/>
      <c r="II59" s="816"/>
      <c r="IJ59" s="816"/>
      <c r="IK59" s="816"/>
      <c r="IL59" s="816"/>
      <c r="IM59" s="816"/>
      <c r="IN59" s="816"/>
      <c r="IO59" s="816"/>
      <c r="IP59" s="816"/>
      <c r="IQ59" s="816"/>
      <c r="IR59" s="816"/>
      <c r="IS59" s="816"/>
      <c r="IT59" s="816"/>
      <c r="IU59" s="816"/>
      <c r="IV59" s="816"/>
    </row>
    <row r="60" spans="1:256" ht="13" thickBot="1">
      <c r="A60" s="820">
        <f>+A58+1</f>
        <v>38</v>
      </c>
      <c r="B60" s="833" t="str">
        <f>"Proration Adjustment - Line "&amp;A58&amp;" Col. "&amp;I42&amp;" less Col. "&amp;D42</f>
        <v>Proration Adjustment - Line 37 Col. (H) less Col. (C )</v>
      </c>
      <c r="C60" s="833"/>
      <c r="D60" s="833"/>
      <c r="E60" s="833"/>
      <c r="F60" s="833"/>
      <c r="G60" s="833"/>
      <c r="H60" s="833"/>
      <c r="I60" s="834">
        <f>+I58-D58</f>
        <v>0</v>
      </c>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c r="AH60" s="816"/>
      <c r="AI60" s="816"/>
      <c r="AJ60" s="816"/>
      <c r="AK60" s="816"/>
      <c r="AL60" s="816"/>
      <c r="AM60" s="816"/>
      <c r="AN60" s="816"/>
      <c r="AO60" s="816"/>
      <c r="AP60" s="816"/>
      <c r="AQ60" s="816"/>
      <c r="AR60" s="816"/>
      <c r="AS60" s="816"/>
      <c r="AT60" s="816"/>
      <c r="AU60" s="816"/>
      <c r="AV60" s="816"/>
      <c r="AW60" s="816"/>
      <c r="AX60" s="816"/>
      <c r="AY60" s="816"/>
      <c r="AZ60" s="816"/>
      <c r="BA60" s="816"/>
      <c r="BB60" s="816"/>
      <c r="BC60" s="816"/>
      <c r="BD60" s="816"/>
      <c r="BE60" s="816"/>
      <c r="BF60" s="816"/>
      <c r="BG60" s="816"/>
      <c r="BH60" s="816"/>
      <c r="BI60" s="816"/>
      <c r="BJ60" s="816"/>
      <c r="BK60" s="816"/>
      <c r="BL60" s="816"/>
      <c r="BM60" s="816"/>
      <c r="BN60" s="816"/>
      <c r="BO60" s="816"/>
      <c r="BP60" s="816"/>
      <c r="BQ60" s="816"/>
      <c r="BR60" s="816"/>
      <c r="BS60" s="816"/>
      <c r="BT60" s="816"/>
      <c r="BU60" s="816"/>
      <c r="BV60" s="816"/>
      <c r="BW60" s="816"/>
      <c r="BX60" s="816"/>
      <c r="BY60" s="816"/>
      <c r="BZ60" s="816"/>
      <c r="CA60" s="816"/>
      <c r="CB60" s="816"/>
      <c r="CC60" s="816"/>
      <c r="CD60" s="816"/>
      <c r="CE60" s="816"/>
      <c r="CF60" s="816"/>
      <c r="CG60" s="816"/>
      <c r="CH60" s="816"/>
      <c r="CI60" s="816"/>
      <c r="CJ60" s="816"/>
      <c r="CK60" s="816"/>
      <c r="CL60" s="816"/>
      <c r="CM60" s="816"/>
      <c r="CN60" s="816"/>
      <c r="CO60" s="816"/>
      <c r="CP60" s="816"/>
      <c r="CQ60" s="816"/>
      <c r="CR60" s="816"/>
      <c r="CS60" s="816"/>
      <c r="CT60" s="816"/>
      <c r="CU60" s="816"/>
      <c r="CV60" s="816"/>
      <c r="CW60" s="816"/>
      <c r="CX60" s="816"/>
      <c r="CY60" s="816"/>
      <c r="CZ60" s="816"/>
      <c r="DA60" s="816"/>
      <c r="DB60" s="816"/>
      <c r="DC60" s="816"/>
      <c r="DD60" s="816"/>
      <c r="DE60" s="816"/>
      <c r="DF60" s="816"/>
      <c r="DG60" s="816"/>
      <c r="DH60" s="816"/>
      <c r="DI60" s="816"/>
      <c r="DJ60" s="816"/>
      <c r="DK60" s="816"/>
      <c r="DL60" s="816"/>
      <c r="DM60" s="816"/>
      <c r="DN60" s="816"/>
      <c r="DO60" s="816"/>
      <c r="DP60" s="816"/>
      <c r="DQ60" s="816"/>
      <c r="DR60" s="816"/>
      <c r="DS60" s="816"/>
      <c r="DT60" s="816"/>
      <c r="DU60" s="816"/>
      <c r="DV60" s="816"/>
      <c r="DW60" s="816"/>
      <c r="DX60" s="816"/>
      <c r="DY60" s="816"/>
      <c r="DZ60" s="816"/>
      <c r="EA60" s="816"/>
      <c r="EB60" s="816"/>
      <c r="EC60" s="816"/>
      <c r="ED60" s="816"/>
      <c r="EE60" s="816"/>
      <c r="EF60" s="816"/>
      <c r="EG60" s="816"/>
      <c r="EH60" s="816"/>
      <c r="EI60" s="816"/>
      <c r="EJ60" s="816"/>
      <c r="EK60" s="816"/>
      <c r="EL60" s="816"/>
      <c r="EM60" s="816"/>
      <c r="EN60" s="816"/>
      <c r="EO60" s="816"/>
      <c r="EP60" s="816"/>
      <c r="EQ60" s="816"/>
      <c r="ER60" s="816"/>
      <c r="ES60" s="816"/>
      <c r="ET60" s="816"/>
      <c r="EU60" s="816"/>
      <c r="EV60" s="816"/>
      <c r="EW60" s="816"/>
      <c r="EX60" s="816"/>
      <c r="EY60" s="816"/>
      <c r="EZ60" s="816"/>
      <c r="FA60" s="816"/>
      <c r="FB60" s="816"/>
      <c r="FC60" s="816"/>
      <c r="FD60" s="816"/>
      <c r="FE60" s="816"/>
      <c r="FF60" s="816"/>
      <c r="FG60" s="816"/>
      <c r="FH60" s="816"/>
      <c r="FI60" s="816"/>
      <c r="FJ60" s="816"/>
      <c r="FK60" s="816"/>
      <c r="FL60" s="816"/>
      <c r="FM60" s="816"/>
      <c r="FN60" s="816"/>
      <c r="FO60" s="816"/>
      <c r="FP60" s="816"/>
      <c r="FQ60" s="816"/>
      <c r="FR60" s="816"/>
      <c r="FS60" s="816"/>
      <c r="FT60" s="816"/>
      <c r="FU60" s="816"/>
      <c r="FV60" s="816"/>
      <c r="FW60" s="816"/>
      <c r="FX60" s="816"/>
      <c r="FY60" s="816"/>
      <c r="FZ60" s="816"/>
      <c r="GA60" s="816"/>
      <c r="GB60" s="816"/>
      <c r="GC60" s="816"/>
      <c r="GD60" s="816"/>
      <c r="GE60" s="816"/>
      <c r="GF60" s="816"/>
      <c r="GG60" s="816"/>
      <c r="GH60" s="816"/>
      <c r="GI60" s="816"/>
      <c r="GJ60" s="816"/>
      <c r="GK60" s="816"/>
      <c r="GL60" s="816"/>
      <c r="GM60" s="816"/>
      <c r="GN60" s="816"/>
      <c r="GO60" s="816"/>
      <c r="GP60" s="816"/>
      <c r="GQ60" s="816"/>
      <c r="GR60" s="816"/>
      <c r="GS60" s="816"/>
      <c r="GT60" s="816"/>
      <c r="GU60" s="816"/>
      <c r="GV60" s="816"/>
      <c r="GW60" s="816"/>
      <c r="GX60" s="816"/>
      <c r="GY60" s="816"/>
      <c r="GZ60" s="816"/>
      <c r="HA60" s="816"/>
      <c r="HB60" s="816"/>
      <c r="HC60" s="816"/>
      <c r="HD60" s="816"/>
      <c r="HE60" s="816"/>
      <c r="HF60" s="816"/>
      <c r="HG60" s="816"/>
      <c r="HH60" s="816"/>
      <c r="HI60" s="816"/>
      <c r="HJ60" s="816"/>
      <c r="HK60" s="816"/>
      <c r="HL60" s="816"/>
      <c r="HM60" s="816"/>
      <c r="HN60" s="816"/>
      <c r="HO60" s="816"/>
      <c r="HP60" s="816"/>
      <c r="HQ60" s="816"/>
      <c r="HR60" s="816"/>
      <c r="HS60" s="816"/>
      <c r="HT60" s="816"/>
      <c r="HU60" s="816"/>
      <c r="HV60" s="816"/>
      <c r="HW60" s="816"/>
      <c r="HX60" s="816"/>
      <c r="HY60" s="816"/>
      <c r="HZ60" s="816"/>
      <c r="IA60" s="816"/>
      <c r="IB60" s="816"/>
      <c r="IC60" s="816"/>
      <c r="ID60" s="816"/>
      <c r="IE60" s="816"/>
      <c r="IF60" s="816"/>
      <c r="IG60" s="816"/>
      <c r="IH60" s="816"/>
      <c r="II60" s="816"/>
      <c r="IJ60" s="816"/>
      <c r="IK60" s="816"/>
      <c r="IL60" s="816"/>
      <c r="IM60" s="816"/>
      <c r="IN60" s="816"/>
      <c r="IO60" s="816"/>
      <c r="IP60" s="816"/>
      <c r="IQ60" s="816"/>
      <c r="IR60" s="816"/>
      <c r="IS60" s="816"/>
      <c r="IT60" s="816"/>
      <c r="IU60" s="816"/>
      <c r="IV60" s="816"/>
    </row>
    <row r="61" spans="1:256" ht="13" thickTop="1"/>
    <row r="62" spans="1:256">
      <c r="A62" s="835" t="s">
        <v>314</v>
      </c>
      <c r="B62" s="286"/>
      <c r="C62" s="286"/>
      <c r="D62" s="286"/>
      <c r="E62" s="286"/>
      <c r="F62" s="286"/>
      <c r="G62" s="286"/>
      <c r="H62" s="286"/>
      <c r="I62" s="286"/>
    </row>
    <row r="63" spans="1:256" ht="27.75" customHeight="1">
      <c r="A63" s="836">
        <v>1</v>
      </c>
      <c r="B63" s="2297" t="s">
        <v>844</v>
      </c>
      <c r="C63" s="2297"/>
      <c r="D63" s="2297"/>
      <c r="E63" s="2297"/>
      <c r="F63" s="2297"/>
      <c r="G63" s="2297"/>
      <c r="H63" s="2297"/>
      <c r="I63" s="2297"/>
    </row>
  </sheetData>
  <mergeCells count="9">
    <mergeCell ref="B63:I63"/>
    <mergeCell ref="E36:F36"/>
    <mergeCell ref="E10:F10"/>
    <mergeCell ref="A3:I3"/>
    <mergeCell ref="A4:I4"/>
    <mergeCell ref="A5:I5"/>
    <mergeCell ref="A6:I6"/>
    <mergeCell ref="B7:E7"/>
    <mergeCell ref="A8:I8"/>
  </mergeCells>
  <pageMargins left="0.7" right="0.7" top="0.75" bottom="0.75" header="0.3" footer="0.3"/>
  <pageSetup scale="62" orientation="portrait" r:id="rId1"/>
  <headerFooter>
    <oddHeader>&amp;RAEP - SPP Formula Rate
TCOS - WS-C-3
Page: &amp;P of &amp;N</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4"/>
  <sheetViews>
    <sheetView topLeftCell="A24" zoomScale="80" zoomScaleNormal="80" zoomScaleSheetLayoutView="80" workbookViewId="0">
      <selection activeCell="E46" sqref="E46"/>
    </sheetView>
  </sheetViews>
  <sheetFormatPr defaultColWidth="9.1796875" defaultRowHeight="12.5"/>
  <cols>
    <col min="1" max="1" width="9.1796875" style="850"/>
    <col min="2" max="2" width="47.81640625" style="838" customWidth="1"/>
    <col min="3" max="3" width="38.453125" style="838" customWidth="1"/>
    <col min="4" max="4" width="18.453125" style="838" customWidth="1"/>
    <col min="5" max="5" width="14.1796875" style="838" customWidth="1"/>
    <col min="6" max="6" width="15.1796875" style="838" customWidth="1"/>
    <col min="7" max="7" width="14.453125" style="838" customWidth="1"/>
    <col min="8" max="9" width="12.81640625" style="838" customWidth="1"/>
    <col min="10" max="11" width="9.1796875" style="838"/>
    <col min="12" max="12" width="21.54296875" style="839" customWidth="1"/>
    <col min="13" max="16384" width="9.1796875" style="838"/>
  </cols>
  <sheetData>
    <row r="1" spans="1:12" ht="15.5">
      <c r="A1" s="837"/>
      <c r="I1" s="1337"/>
      <c r="J1" s="2199"/>
    </row>
    <row r="3" spans="1:12" s="843" customFormat="1" ht="15.5">
      <c r="A3" s="840"/>
      <c r="B3" s="2305" t="str">
        <f>+'PSO TCOS'!F4</f>
        <v xml:space="preserve">AEP West SPP Member Operating Companies </v>
      </c>
      <c r="C3" s="2305"/>
      <c r="D3" s="2305"/>
      <c r="E3" s="2305"/>
      <c r="F3" s="2305"/>
      <c r="G3" s="2305"/>
      <c r="H3" s="2305"/>
      <c r="I3" s="2305"/>
      <c r="J3" s="841"/>
      <c r="K3" s="841"/>
      <c r="L3" s="842"/>
    </row>
    <row r="4" spans="1:12" s="843" customFormat="1" ht="15.5">
      <c r="A4" s="840"/>
      <c r="B4" s="2306" t="str">
        <f>+'PSO WS A-1 - Plant'!A3</f>
        <v xml:space="preserve">Actual / Projected 2024 Rate Year Cost of Service Formula Rate </v>
      </c>
      <c r="C4" s="2306"/>
      <c r="D4" s="2306"/>
      <c r="E4" s="2306"/>
      <c r="F4" s="2306"/>
      <c r="G4" s="2306"/>
      <c r="H4" s="2306"/>
      <c r="I4" s="2306"/>
      <c r="J4" s="844"/>
      <c r="K4" s="844"/>
      <c r="L4" s="845"/>
    </row>
    <row r="5" spans="1:12" s="843" customFormat="1" ht="15.5">
      <c r="A5" s="840"/>
      <c r="B5" s="2307" t="s">
        <v>929</v>
      </c>
      <c r="C5" s="2307"/>
      <c r="D5" s="2307"/>
      <c r="E5" s="2307"/>
      <c r="F5" s="2307"/>
      <c r="G5" s="2307"/>
      <c r="H5" s="2307"/>
      <c r="I5" s="2307"/>
      <c r="J5" s="846"/>
      <c r="K5" s="846"/>
      <c r="L5" s="847"/>
    </row>
    <row r="6" spans="1:12" s="843" customFormat="1" ht="15.5">
      <c r="A6" s="840"/>
      <c r="B6" s="2308" t="str">
        <f>+'PSO TCOS'!F8</f>
        <v>PUBLIC SERVICE COMPANY OF OKLAHOMA</v>
      </c>
      <c r="C6" s="2308"/>
      <c r="D6" s="2308"/>
      <c r="E6" s="2308"/>
      <c r="F6" s="2308"/>
      <c r="G6" s="2308"/>
      <c r="H6" s="2308"/>
      <c r="I6" s="2308"/>
      <c r="J6" s="848"/>
      <c r="K6" s="848"/>
      <c r="L6" s="849"/>
    </row>
    <row r="8" spans="1:12">
      <c r="B8" s="838" t="s">
        <v>852</v>
      </c>
    </row>
    <row r="9" spans="1:12" ht="25.5" customHeight="1">
      <c r="B9" s="2304" t="s">
        <v>853</v>
      </c>
      <c r="C9" s="2304"/>
      <c r="D9" s="2304"/>
      <c r="E9" s="2304"/>
      <c r="F9" s="2304"/>
      <c r="G9" s="2304"/>
      <c r="H9" s="2304"/>
      <c r="I9" s="2304"/>
    </row>
    <row r="10" spans="1:12" ht="27" customHeight="1">
      <c r="B10" s="2302" t="s">
        <v>1506</v>
      </c>
      <c r="C10" s="2302"/>
      <c r="D10" s="2302"/>
      <c r="E10" s="2302"/>
      <c r="F10" s="2302"/>
      <c r="G10" s="2302"/>
      <c r="H10" s="2302"/>
      <c r="I10" s="2037"/>
      <c r="L10" s="838"/>
    </row>
    <row r="11" spans="1:12">
      <c r="B11" s="2304" t="s">
        <v>1281</v>
      </c>
      <c r="C11" s="2304"/>
      <c r="D11" s="2304"/>
      <c r="E11" s="2304"/>
      <c r="F11" s="2304"/>
      <c r="G11" s="2304"/>
      <c r="H11" s="2304"/>
      <c r="I11" s="2304"/>
      <c r="L11" s="838"/>
    </row>
    <row r="13" spans="1:12" ht="13">
      <c r="B13" s="851" t="s">
        <v>301</v>
      </c>
      <c r="C13" s="852" t="s">
        <v>302</v>
      </c>
      <c r="D13" s="852"/>
      <c r="E13" s="852" t="s">
        <v>303</v>
      </c>
      <c r="F13" s="852" t="s">
        <v>304</v>
      </c>
      <c r="G13" s="852" t="s">
        <v>229</v>
      </c>
      <c r="H13" s="852" t="s">
        <v>230</v>
      </c>
      <c r="I13" s="852" t="s">
        <v>231</v>
      </c>
    </row>
    <row r="14" spans="1:12" ht="13">
      <c r="A14" s="853" t="s">
        <v>308</v>
      </c>
      <c r="F14"/>
    </row>
    <row r="15" spans="1:12">
      <c r="A15" s="854"/>
      <c r="E15" s="2309" t="s">
        <v>848</v>
      </c>
      <c r="F15" s="2309"/>
      <c r="G15" s="2309"/>
      <c r="H15" s="2309"/>
      <c r="I15" s="2309"/>
    </row>
    <row r="16" spans="1:12" ht="14">
      <c r="A16" s="854"/>
      <c r="B16" s="855" t="s">
        <v>849</v>
      </c>
      <c r="C16" s="856" t="s">
        <v>345</v>
      </c>
      <c r="D16" s="856" t="s">
        <v>258</v>
      </c>
      <c r="E16" s="857">
        <v>1901001</v>
      </c>
      <c r="F16" s="857">
        <v>2821001</v>
      </c>
      <c r="G16" s="857">
        <v>2831001</v>
      </c>
      <c r="H16" s="857" t="s">
        <v>851</v>
      </c>
      <c r="I16" s="857" t="s">
        <v>851</v>
      </c>
    </row>
    <row r="17" spans="1:12">
      <c r="A17" s="854"/>
      <c r="B17" s="1816" t="s">
        <v>1282</v>
      </c>
      <c r="C17" s="1817"/>
      <c r="D17" s="1817"/>
      <c r="E17" s="857"/>
      <c r="F17" s="857" t="s">
        <v>1283</v>
      </c>
      <c r="G17" s="857" t="s">
        <v>1283</v>
      </c>
      <c r="H17" s="857"/>
      <c r="I17" s="857"/>
      <c r="L17" s="838"/>
    </row>
    <row r="18" spans="1:12" ht="25">
      <c r="A18" s="854">
        <v>1</v>
      </c>
      <c r="B18" s="858" t="s">
        <v>878</v>
      </c>
      <c r="C18" s="850" t="s">
        <v>854</v>
      </c>
      <c r="D18" s="2179">
        <f>+SUM(E18:I18)</f>
        <v>0</v>
      </c>
      <c r="E18" s="2180">
        <v>0</v>
      </c>
      <c r="F18" s="2180">
        <v>0</v>
      </c>
      <c r="G18" s="2180">
        <v>0</v>
      </c>
      <c r="H18" s="2180"/>
      <c r="I18" s="2180"/>
      <c r="J18"/>
    </row>
    <row r="19" spans="1:12">
      <c r="A19" s="854">
        <f t="shared" ref="A19:A47" si="0">+A18+1</f>
        <v>2</v>
      </c>
      <c r="B19" s="858" t="s">
        <v>861</v>
      </c>
      <c r="C19"/>
      <c r="D19" s="861"/>
      <c r="E19" s="860">
        <v>5</v>
      </c>
      <c r="F19" s="860">
        <v>5</v>
      </c>
      <c r="G19" s="860">
        <v>5</v>
      </c>
      <c r="H19" s="860">
        <v>5</v>
      </c>
      <c r="I19" s="860">
        <v>5</v>
      </c>
      <c r="J19"/>
    </row>
    <row r="20" spans="1:12">
      <c r="A20" s="854">
        <f t="shared" si="0"/>
        <v>3</v>
      </c>
      <c r="B20" s="862" t="s">
        <v>850</v>
      </c>
      <c r="C20" s="863" t="str">
        <f>"Line "&amp;A18&amp;" / Line "&amp;A19&amp;" NOTE B"</f>
        <v>Line 1 / Line 2 NOTE B</v>
      </c>
      <c r="D20" s="2181">
        <f>+SUM(E20:I20)</f>
        <v>0</v>
      </c>
      <c r="E20" s="2182">
        <f>+E18/E19</f>
        <v>0</v>
      </c>
      <c r="F20" s="2182">
        <f t="shared" ref="F20:G20" si="1">+F18/F19</f>
        <v>0</v>
      </c>
      <c r="G20" s="2182">
        <f t="shared" si="1"/>
        <v>0</v>
      </c>
      <c r="H20" s="2182">
        <f>+H18/H19</f>
        <v>0</v>
      </c>
      <c r="I20" s="2182">
        <f>+I18/I19</f>
        <v>0</v>
      </c>
      <c r="J20"/>
    </row>
    <row r="21" spans="1:12" ht="13.5" customHeight="1">
      <c r="A21" s="854">
        <f t="shared" si="0"/>
        <v>4</v>
      </c>
      <c r="B21" s="858" t="s">
        <v>846</v>
      </c>
      <c r="C21" s="850" t="s">
        <v>854</v>
      </c>
      <c r="D21" s="850">
        <f>+SUM(E21:I21)</f>
        <v>0</v>
      </c>
      <c r="E21" s="859">
        <v>0</v>
      </c>
      <c r="F21" s="859">
        <v>0</v>
      </c>
      <c r="G21" s="859">
        <v>0</v>
      </c>
      <c r="H21" s="859"/>
      <c r="I21" s="859"/>
      <c r="J21"/>
    </row>
    <row r="22" spans="1:12">
      <c r="A22" s="854">
        <f t="shared" si="0"/>
        <v>5</v>
      </c>
      <c r="B22" s="862" t="s">
        <v>847</v>
      </c>
      <c r="C22" s="863" t="str">
        <f>"Line "&amp;A20&amp;" + Line "&amp;A21</f>
        <v>Line 3 + Line 4</v>
      </c>
      <c r="D22" s="863">
        <f>+SUM(E22:I22)</f>
        <v>0</v>
      </c>
      <c r="E22" s="864">
        <f>+E20+E21</f>
        <v>0</v>
      </c>
      <c r="F22" s="864">
        <f>+F20+F21</f>
        <v>0</v>
      </c>
      <c r="G22" s="864">
        <f>+G20+G21</f>
        <v>0</v>
      </c>
      <c r="H22" s="864">
        <f>+H20+H21</f>
        <v>0</v>
      </c>
      <c r="I22" s="864">
        <f>+I20+I21</f>
        <v>0</v>
      </c>
      <c r="J22"/>
    </row>
    <row r="23" spans="1:12">
      <c r="A23" s="854"/>
      <c r="B23" s="865"/>
      <c r="J23"/>
    </row>
    <row r="24" spans="1:12" ht="25">
      <c r="A24" s="854">
        <f>+A22+1</f>
        <v>6</v>
      </c>
      <c r="B24" s="858" t="s">
        <v>863</v>
      </c>
      <c r="C24" s="859" t="s">
        <v>865</v>
      </c>
      <c r="D24" s="850">
        <f>+SUM(E24:I24)</f>
        <v>1.73</v>
      </c>
      <c r="F24" s="1812">
        <f>'PSO WS C-2 ADIT BOY'!H12</f>
        <v>2.6</v>
      </c>
      <c r="G24" s="1812">
        <f>'PSO WS C-2 ADIT BOY'!H38</f>
        <v>-0.87</v>
      </c>
      <c r="J24"/>
    </row>
    <row r="25" spans="1:12" ht="25">
      <c r="A25" s="854">
        <f t="shared" si="0"/>
        <v>7</v>
      </c>
      <c r="B25" s="858" t="s">
        <v>862</v>
      </c>
      <c r="C25" s="850" t="str">
        <f>"Line "&amp;A18&amp;" - Line "&amp;A21</f>
        <v>Line 1 - Line 4</v>
      </c>
      <c r="D25" s="850">
        <f t="shared" ref="D25:D26" si="2">+SUM(E25:I25)</f>
        <v>0</v>
      </c>
      <c r="E25" s="838">
        <f>+E18-E21</f>
        <v>0</v>
      </c>
      <c r="F25" s="838">
        <f>+F18-F21</f>
        <v>0</v>
      </c>
      <c r="G25" s="838">
        <f>+G18-G21</f>
        <v>0</v>
      </c>
      <c r="H25" s="838">
        <f>+H18-H21</f>
        <v>0</v>
      </c>
      <c r="I25" s="838">
        <f>+I18-I21</f>
        <v>0</v>
      </c>
      <c r="J25"/>
    </row>
    <row r="26" spans="1:12">
      <c r="A26" s="854">
        <f t="shared" si="0"/>
        <v>8</v>
      </c>
      <c r="B26" s="862" t="s">
        <v>864</v>
      </c>
      <c r="C26" s="863" t="str">
        <f>"Line "&amp;A24&amp;" - Line "&amp;A25</f>
        <v>Line 6 - Line 7</v>
      </c>
      <c r="D26" s="863">
        <f t="shared" si="2"/>
        <v>1.73</v>
      </c>
      <c r="E26" s="864">
        <f>+E24-E25</f>
        <v>0</v>
      </c>
      <c r="F26" s="864">
        <f>+F24-F25</f>
        <v>2.6</v>
      </c>
      <c r="G26" s="864">
        <f>+G24-G25</f>
        <v>-0.87</v>
      </c>
      <c r="H26" s="864">
        <f>+H24-H25</f>
        <v>0</v>
      </c>
      <c r="I26" s="864">
        <f>+I24-I25</f>
        <v>0</v>
      </c>
      <c r="J26"/>
    </row>
    <row r="27" spans="1:12">
      <c r="A27" s="854"/>
      <c r="B27" s="858"/>
      <c r="J27"/>
    </row>
    <row r="28" spans="1:12">
      <c r="A28" s="854">
        <f>+A26+1</f>
        <v>9</v>
      </c>
      <c r="B28" s="858" t="s">
        <v>856</v>
      </c>
      <c r="C28" s="859" t="s">
        <v>857</v>
      </c>
      <c r="D28" s="850">
        <f>+SUM(E28:I28)</f>
        <v>1.73</v>
      </c>
      <c r="E28" s="840">
        <v>0</v>
      </c>
      <c r="F28" s="1814">
        <f>'PSO WS C-1 ADIT EOY'!H12</f>
        <v>2.6</v>
      </c>
      <c r="G28" s="1814">
        <f>'PSO WS C-1 ADIT EOY'!H36</f>
        <v>-0.87</v>
      </c>
      <c r="H28" s="840"/>
      <c r="I28" s="840"/>
      <c r="J28"/>
    </row>
    <row r="29" spans="1:12" ht="25">
      <c r="A29" s="854">
        <f t="shared" si="0"/>
        <v>10</v>
      </c>
      <c r="B29" s="858" t="s">
        <v>860</v>
      </c>
      <c r="C29" s="850" t="str">
        <f>"Line "&amp;A18&amp;" - Line "&amp;A22</f>
        <v>Line 1 - Line 5</v>
      </c>
      <c r="D29" s="850">
        <f t="shared" ref="D29:D30" si="3">+SUM(E29:I29)</f>
        <v>0</v>
      </c>
      <c r="E29" s="866">
        <f>+E18-E22</f>
        <v>0</v>
      </c>
      <c r="F29" s="866">
        <f>+F18-F22</f>
        <v>0</v>
      </c>
      <c r="G29" s="866">
        <f>+G18-G22</f>
        <v>0</v>
      </c>
      <c r="H29" s="866">
        <f>+H18-H22</f>
        <v>0</v>
      </c>
      <c r="I29" s="866">
        <f>+I18-I22</f>
        <v>0</v>
      </c>
    </row>
    <row r="30" spans="1:12">
      <c r="A30" s="854">
        <f t="shared" si="0"/>
        <v>11</v>
      </c>
      <c r="B30" s="862" t="s">
        <v>859</v>
      </c>
      <c r="C30" s="863" t="str">
        <f>"Line "&amp;A28&amp;" - Line "&amp;A29</f>
        <v>Line 9 - Line 10</v>
      </c>
      <c r="D30" s="863">
        <f t="shared" si="3"/>
        <v>1.73</v>
      </c>
      <c r="E30" s="864">
        <f>+E28-E29</f>
        <v>0</v>
      </c>
      <c r="F30" s="864">
        <f>+F28-F29</f>
        <v>2.6</v>
      </c>
      <c r="G30" s="864">
        <f t="shared" ref="G30:I30" si="4">+G28-G29</f>
        <v>-0.87</v>
      </c>
      <c r="H30" s="864">
        <f t="shared" si="4"/>
        <v>0</v>
      </c>
      <c r="I30" s="864">
        <f t="shared" si="4"/>
        <v>0</v>
      </c>
    </row>
    <row r="31" spans="1:12">
      <c r="A31" s="854"/>
    </row>
    <row r="32" spans="1:12">
      <c r="A32" s="854"/>
    </row>
    <row r="33" spans="1:12">
      <c r="A33" s="854"/>
      <c r="E33" s="2303" t="s">
        <v>848</v>
      </c>
      <c r="F33" s="2303"/>
      <c r="G33" s="2303"/>
    </row>
    <row r="34" spans="1:12" ht="14">
      <c r="A34" s="854"/>
      <c r="B34" s="855" t="s">
        <v>855</v>
      </c>
      <c r="C34" s="856" t="s">
        <v>345</v>
      </c>
      <c r="D34" s="856" t="s">
        <v>258</v>
      </c>
      <c r="E34" s="867">
        <v>2821001</v>
      </c>
      <c r="F34" s="867" t="s">
        <v>851</v>
      </c>
      <c r="G34" s="867" t="s">
        <v>851</v>
      </c>
      <c r="H34" s="868"/>
      <c r="I34" s="868"/>
    </row>
    <row r="35" spans="1:12">
      <c r="A35" s="854"/>
      <c r="B35" s="1816" t="s">
        <v>1282</v>
      </c>
      <c r="C35" s="1817"/>
      <c r="D35" s="1817"/>
      <c r="E35" s="857" t="s">
        <v>1283</v>
      </c>
      <c r="F35" s="857"/>
      <c r="G35" s="857"/>
      <c r="H35" s="868"/>
      <c r="I35" s="868"/>
      <c r="L35" s="838"/>
    </row>
    <row r="36" spans="1:12" ht="25">
      <c r="A36" s="854">
        <f>+A30+1</f>
        <v>12</v>
      </c>
      <c r="B36" s="858" t="s">
        <v>878</v>
      </c>
      <c r="C36" s="850" t="s">
        <v>854</v>
      </c>
      <c r="D36" s="850">
        <f t="shared" ref="D36:D47" si="5">+SUM(E36:I36)</f>
        <v>-57214784.386199988</v>
      </c>
      <c r="E36" s="2456">
        <v>-57214784.386199988</v>
      </c>
      <c r="F36" s="859">
        <v>0</v>
      </c>
      <c r="G36" s="859">
        <v>0</v>
      </c>
      <c r="H36" s="868"/>
      <c r="I36" s="868"/>
    </row>
    <row r="37" spans="1:12">
      <c r="A37" s="854">
        <f>+A36+1</f>
        <v>13</v>
      </c>
      <c r="B37" s="858" t="s">
        <v>850</v>
      </c>
      <c r="C37" s="850" t="s">
        <v>854</v>
      </c>
      <c r="D37" s="850">
        <f t="shared" si="5"/>
        <v>-1103064.9720288145</v>
      </c>
      <c r="E37" s="2452">
        <v>-1103064.9720288145</v>
      </c>
      <c r="F37" s="859"/>
      <c r="G37" s="859"/>
      <c r="H37" s="868"/>
      <c r="I37" s="868"/>
    </row>
    <row r="38" spans="1:12" ht="13.5" customHeight="1">
      <c r="A38" s="854">
        <f t="shared" si="0"/>
        <v>14</v>
      </c>
      <c r="B38" s="858" t="s">
        <v>869</v>
      </c>
      <c r="C38" s="850" t="s">
        <v>854</v>
      </c>
      <c r="D38" s="850">
        <f t="shared" si="5"/>
        <v>-5844225.1536805592</v>
      </c>
      <c r="E38" s="2452">
        <v>-5844225.1536805592</v>
      </c>
      <c r="F38" s="859"/>
      <c r="G38" s="859"/>
      <c r="H38" s="868"/>
      <c r="I38" s="868"/>
    </row>
    <row r="39" spans="1:12">
      <c r="A39" s="854">
        <f t="shared" si="0"/>
        <v>15</v>
      </c>
      <c r="B39" s="862" t="s">
        <v>870</v>
      </c>
      <c r="C39" s="863" t="str">
        <f>"Line "&amp;A37&amp;" + Line "&amp;A38</f>
        <v>Line 13 + Line 14</v>
      </c>
      <c r="D39" s="863">
        <f t="shared" si="5"/>
        <v>-6947290.1257093735</v>
      </c>
      <c r="E39" s="864">
        <f>+E37+E38</f>
        <v>-6947290.1257093735</v>
      </c>
      <c r="F39" s="864">
        <f>+F37+F38</f>
        <v>0</v>
      </c>
      <c r="G39" s="864"/>
      <c r="H39" s="868"/>
      <c r="I39" s="868"/>
    </row>
    <row r="40" spans="1:12">
      <c r="A40" s="854"/>
      <c r="B40" s="865"/>
      <c r="H40" s="868"/>
      <c r="I40" s="868"/>
    </row>
    <row r="41" spans="1:12">
      <c r="A41" s="854">
        <f>+A39+1</f>
        <v>16</v>
      </c>
      <c r="B41" s="858" t="s">
        <v>867</v>
      </c>
      <c r="C41" s="859" t="s">
        <v>866</v>
      </c>
      <c r="D41" s="840">
        <f t="shared" si="5"/>
        <v>-267257508.84</v>
      </c>
      <c r="E41" s="1813">
        <f>'PSO WS C-2 ADIT BOY'!H11</f>
        <v>-267257508.84</v>
      </c>
      <c r="F41" s="866"/>
      <c r="G41" s="866"/>
      <c r="H41" s="868"/>
      <c r="I41" s="868"/>
      <c r="J41" s="868"/>
    </row>
    <row r="42" spans="1:12" ht="25">
      <c r="A42" s="854">
        <f t="shared" si="0"/>
        <v>17</v>
      </c>
      <c r="B42" s="1815" t="s">
        <v>862</v>
      </c>
      <c r="C42" s="850" t="str">
        <f>"Line "&amp;A36&amp;" - Line "&amp;A38</f>
        <v>Line 12 - Line 14</v>
      </c>
      <c r="D42" s="869">
        <f t="shared" si="5"/>
        <v>-51370559.232519433</v>
      </c>
      <c r="E42" s="866">
        <f>+E36-E38</f>
        <v>-51370559.232519433</v>
      </c>
      <c r="F42" s="866">
        <f>+F36-F38</f>
        <v>0</v>
      </c>
      <c r="G42" s="866">
        <f>+G36-G38</f>
        <v>0</v>
      </c>
      <c r="H42" s="868"/>
      <c r="I42" s="868"/>
      <c r="J42" s="868"/>
    </row>
    <row r="43" spans="1:12">
      <c r="A43" s="854">
        <f t="shared" si="0"/>
        <v>18</v>
      </c>
      <c r="B43" s="862" t="s">
        <v>864</v>
      </c>
      <c r="C43" s="863" t="str">
        <f>"Line "&amp;A41&amp;" - Line "&amp;A42</f>
        <v>Line 16 - Line 17</v>
      </c>
      <c r="D43" s="870">
        <f t="shared" si="5"/>
        <v>-215886949.60748059</v>
      </c>
      <c r="E43" s="864">
        <f>+E41-E42</f>
        <v>-215886949.60748059</v>
      </c>
      <c r="F43" s="864">
        <f>+F41-F42</f>
        <v>0</v>
      </c>
      <c r="G43" s="864">
        <f>+G41-G42</f>
        <v>0</v>
      </c>
      <c r="H43" s="868"/>
      <c r="I43" s="868"/>
      <c r="J43" s="868"/>
    </row>
    <row r="44" spans="1:12">
      <c r="A44" s="854"/>
      <c r="H44" s="868"/>
      <c r="I44" s="868"/>
      <c r="J44" s="868"/>
    </row>
    <row r="45" spans="1:12" ht="25">
      <c r="A45" s="854">
        <f>+A43+1</f>
        <v>19</v>
      </c>
      <c r="B45" s="858" t="s">
        <v>868</v>
      </c>
      <c r="C45" s="859" t="s">
        <v>858</v>
      </c>
      <c r="D45" s="840">
        <f t="shared" si="5"/>
        <v>-213517724.84</v>
      </c>
      <c r="E45" s="1814">
        <f>'PSO WS C-1 ADIT EOY'!H11</f>
        <v>-213517724.84</v>
      </c>
      <c r="F45" s="840"/>
      <c r="G45" s="840"/>
      <c r="H45" s="868"/>
      <c r="I45" s="868"/>
      <c r="J45" s="868"/>
    </row>
    <row r="46" spans="1:12" ht="25">
      <c r="A46" s="854">
        <f t="shared" si="0"/>
        <v>20</v>
      </c>
      <c r="B46" s="858" t="s">
        <v>860</v>
      </c>
      <c r="C46" s="850" t="str">
        <f>"Line "&amp;A36&amp;" - Line "&amp;A39</f>
        <v>Line 12 - Line 15</v>
      </c>
      <c r="D46" s="869">
        <f t="shared" si="5"/>
        <v>-50267494.260490611</v>
      </c>
      <c r="E46" s="840">
        <f>+E36-E39</f>
        <v>-50267494.260490611</v>
      </c>
      <c r="F46" s="840">
        <f>+F36-F39</f>
        <v>0</v>
      </c>
      <c r="G46" s="840">
        <f>+G36-G39</f>
        <v>0</v>
      </c>
      <c r="H46" s="868"/>
      <c r="I46" s="868"/>
      <c r="J46" s="868"/>
    </row>
    <row r="47" spans="1:12">
      <c r="A47" s="854">
        <f t="shared" si="0"/>
        <v>21</v>
      </c>
      <c r="B47" s="862" t="s">
        <v>859</v>
      </c>
      <c r="C47" s="863" t="str">
        <f>"Line "&amp;A45&amp;" - Line "&amp;A46</f>
        <v>Line 19 - Line 20</v>
      </c>
      <c r="D47" s="870">
        <f t="shared" si="5"/>
        <v>-163250230.57950938</v>
      </c>
      <c r="E47" s="864">
        <f>+E45-E46</f>
        <v>-163250230.57950938</v>
      </c>
      <c r="F47" s="864">
        <f>+F45-F46</f>
        <v>0</v>
      </c>
      <c r="G47" s="864">
        <f>+G45-G46</f>
        <v>0</v>
      </c>
      <c r="H47" s="868"/>
      <c r="I47" s="868"/>
    </row>
    <row r="48" spans="1:12">
      <c r="A48" s="854"/>
      <c r="G48" s="868"/>
      <c r="H48" s="868"/>
      <c r="I48" s="868"/>
    </row>
    <row r="49" spans="1:5">
      <c r="A49" s="854"/>
    </row>
    <row r="50" spans="1:5" ht="14">
      <c r="A50" s="854"/>
      <c r="B50" s="855" t="s">
        <v>874</v>
      </c>
      <c r="D50" s="871" t="s">
        <v>845</v>
      </c>
    </row>
    <row r="51" spans="1:5">
      <c r="A51" s="854">
        <f>+A47+1</f>
        <v>22</v>
      </c>
      <c r="B51" s="838" t="s">
        <v>871</v>
      </c>
      <c r="C51" s="850" t="str">
        <f>"Line "&amp;A20</f>
        <v>Line 3</v>
      </c>
      <c r="D51" s="838">
        <f>+D20</f>
        <v>0</v>
      </c>
    </row>
    <row r="52" spans="1:5">
      <c r="A52" s="854">
        <f>+A51+1</f>
        <v>23</v>
      </c>
      <c r="B52" s="838" t="s">
        <v>872</v>
      </c>
      <c r="C52" s="850" t="str">
        <f>"Line "&amp;A37</f>
        <v>Line 13</v>
      </c>
      <c r="D52" s="838">
        <f>+D37</f>
        <v>-1103064.9720288145</v>
      </c>
    </row>
    <row r="53" spans="1:5" ht="12.75" customHeight="1">
      <c r="A53" s="854">
        <f>+A52+1</f>
        <v>24</v>
      </c>
      <c r="B53" s="864" t="s">
        <v>873</v>
      </c>
      <c r="C53" s="863" t="str">
        <f>"Line "&amp;A51&amp;" + Line "&amp;A52</f>
        <v>Line 22 + Line 23</v>
      </c>
      <c r="D53" s="864">
        <f>+D51+D52</f>
        <v>-1103064.9720288145</v>
      </c>
      <c r="E53" s="2036" t="s">
        <v>1379</v>
      </c>
    </row>
    <row r="54" spans="1:5">
      <c r="E54" s="1919"/>
    </row>
  </sheetData>
  <mergeCells count="9">
    <mergeCell ref="B10:H10"/>
    <mergeCell ref="E33:G33"/>
    <mergeCell ref="B9:I9"/>
    <mergeCell ref="B3:I3"/>
    <mergeCell ref="B4:I4"/>
    <mergeCell ref="B5:I5"/>
    <mergeCell ref="B6:I6"/>
    <mergeCell ref="E15:I15"/>
    <mergeCell ref="B11:I11"/>
  </mergeCells>
  <pageMargins left="0.45" right="0.2" top="0.75" bottom="0.5" header="0.3" footer="0.3"/>
  <pageSetup scale="55" fitToHeight="0" orientation="portrait" r:id="rId1"/>
  <headerFooter>
    <oddHeader>&amp;RAEP - SPP Formula Rate
TCOS - WS C-4
Page: &amp;P of &amp;N</oddHead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27"/>
  <sheetViews>
    <sheetView topLeftCell="C18" zoomScale="85" zoomScaleNormal="85" workbookViewId="0">
      <selection activeCell="M31" sqref="M31"/>
    </sheetView>
  </sheetViews>
  <sheetFormatPr defaultColWidth="9.54296875" defaultRowHeight="11.5"/>
  <cols>
    <col min="1" max="1" width="9" style="1830" customWidth="1"/>
    <col min="2" max="2" width="19.7265625" style="1829" customWidth="1"/>
    <col min="3" max="3" width="33.7265625" style="1830" customWidth="1"/>
    <col min="4" max="4" width="12.26953125" style="1830" customWidth="1"/>
    <col min="5" max="5" width="11.453125" style="1830" customWidth="1"/>
    <col min="6" max="6" width="15.7265625" style="1830" customWidth="1"/>
    <col min="7" max="7" width="14.81640625" style="1830" customWidth="1"/>
    <col min="8" max="8" width="14" style="1830" bestFit="1" customWidth="1"/>
    <col min="9" max="9" width="17.81640625" style="1830" customWidth="1"/>
    <col min="10" max="11" width="15.26953125" style="1830" customWidth="1"/>
    <col min="12" max="13" width="14.26953125" style="1830" customWidth="1"/>
    <col min="14" max="14" width="15.26953125" style="1830" customWidth="1"/>
    <col min="15" max="15" width="14.26953125" style="1830" customWidth="1"/>
    <col min="16" max="17" width="16.7265625" style="1830" customWidth="1"/>
    <col min="18" max="18" width="31.26953125" style="1830" customWidth="1"/>
    <col min="19" max="19" width="14.26953125" style="1830" customWidth="1"/>
    <col min="20" max="21" width="13.81640625" style="1830" bestFit="1" customWidth="1"/>
    <col min="22" max="22" width="13.26953125" style="1830" bestFit="1" customWidth="1"/>
    <col min="23" max="16384" width="9.54296875" style="1830"/>
  </cols>
  <sheetData>
    <row r="1" spans="1:23" ht="15.5">
      <c r="A1" s="1828" t="s">
        <v>1287</v>
      </c>
      <c r="R1" s="1831"/>
    </row>
    <row r="2" spans="1:23" ht="15.5">
      <c r="A2" s="1830" t="s">
        <v>1288</v>
      </c>
      <c r="R2" s="1831"/>
      <c r="V2" s="1832"/>
    </row>
    <row r="3" spans="1:23" ht="12.5">
      <c r="A3" s="1830" t="s">
        <v>1289</v>
      </c>
      <c r="R3" s="1833"/>
      <c r="V3" s="1834"/>
    </row>
    <row r="4" spans="1:23" ht="15.5">
      <c r="A4" s="1830" t="s">
        <v>1290</v>
      </c>
      <c r="J4" s="1835"/>
      <c r="R4" s="1833"/>
      <c r="V4" s="1834"/>
    </row>
    <row r="5" spans="1:23" ht="15.5">
      <c r="A5" s="1830" t="s">
        <v>1291</v>
      </c>
      <c r="G5" s="1836"/>
      <c r="J5" s="1835"/>
    </row>
    <row r="6" spans="1:23" ht="15.5">
      <c r="I6" s="1837"/>
      <c r="J6" s="1835"/>
      <c r="P6" s="1837" t="s">
        <v>1527</v>
      </c>
      <c r="Q6" s="1837"/>
    </row>
    <row r="7" spans="1:23">
      <c r="B7" s="1838"/>
      <c r="C7" s="1838"/>
      <c r="D7" s="1838"/>
      <c r="E7" s="1838"/>
      <c r="F7" s="1838"/>
      <c r="G7" s="1838"/>
      <c r="H7" s="1838"/>
      <c r="I7" s="1838"/>
      <c r="J7" s="1838"/>
      <c r="K7" s="1838"/>
      <c r="L7" s="1838"/>
      <c r="M7" s="1838"/>
      <c r="N7" s="1838"/>
      <c r="O7" s="1838"/>
      <c r="P7" s="1838"/>
      <c r="Q7" s="1829"/>
    </row>
    <row r="8" spans="1:23">
      <c r="A8" s="1829" t="s">
        <v>287</v>
      </c>
      <c r="B8" s="1829" t="s">
        <v>288</v>
      </c>
      <c r="C8" s="1829" t="s">
        <v>289</v>
      </c>
      <c r="D8" s="1829" t="s">
        <v>290</v>
      </c>
      <c r="E8" s="1829" t="s">
        <v>291</v>
      </c>
      <c r="F8" s="1829" t="s">
        <v>292</v>
      </c>
      <c r="G8" s="1829" t="s">
        <v>293</v>
      </c>
      <c r="H8" s="1829" t="s">
        <v>294</v>
      </c>
      <c r="I8" s="1829" t="s">
        <v>1293</v>
      </c>
      <c r="J8" s="1829" t="s">
        <v>1294</v>
      </c>
      <c r="K8" s="1829" t="s">
        <v>297</v>
      </c>
      <c r="L8" s="1829" t="s">
        <v>298</v>
      </c>
      <c r="M8" s="1829" t="s">
        <v>299</v>
      </c>
      <c r="N8" s="1829" t="s">
        <v>367</v>
      </c>
      <c r="O8" s="1829" t="s">
        <v>388</v>
      </c>
      <c r="P8" s="1829" t="s">
        <v>11</v>
      </c>
      <c r="Q8" s="1829" t="s">
        <v>12</v>
      </c>
      <c r="R8" s="1829" t="s">
        <v>13</v>
      </c>
    </row>
    <row r="9" spans="1:23" ht="14.5" customHeight="1">
      <c r="A9" s="1839" t="s">
        <v>1295</v>
      </c>
      <c r="B9" s="1835"/>
      <c r="C9" s="1835"/>
      <c r="D9" s="1835"/>
      <c r="E9" s="1835"/>
      <c r="I9" s="2311" t="s">
        <v>1634</v>
      </c>
      <c r="J9" s="2311"/>
      <c r="K9" s="2312" t="s">
        <v>1296</v>
      </c>
      <c r="L9" s="2312"/>
      <c r="M9" s="2312"/>
      <c r="N9" s="2313" t="s">
        <v>1297</v>
      </c>
      <c r="O9" s="2313"/>
      <c r="P9" s="2311" t="s">
        <v>1635</v>
      </c>
      <c r="Q9" s="2311"/>
    </row>
    <row r="10" spans="1:23" ht="46">
      <c r="A10" s="1840" t="s">
        <v>1298</v>
      </c>
      <c r="B10" s="1841" t="s">
        <v>1299</v>
      </c>
      <c r="C10" s="1841" t="s">
        <v>1300</v>
      </c>
      <c r="D10" s="1842" t="s">
        <v>1301</v>
      </c>
      <c r="E10" s="1842" t="s">
        <v>1284</v>
      </c>
      <c r="F10" s="1842" t="s">
        <v>1302</v>
      </c>
      <c r="G10" s="1842" t="s">
        <v>1303</v>
      </c>
      <c r="H10" s="1842" t="s">
        <v>1304</v>
      </c>
      <c r="I10" s="1843" t="s">
        <v>1305</v>
      </c>
      <c r="J10" s="1843" t="s">
        <v>1306</v>
      </c>
      <c r="K10" s="1842" t="s">
        <v>1307</v>
      </c>
      <c r="L10" s="1842">
        <v>182.3</v>
      </c>
      <c r="M10" s="1842">
        <v>254</v>
      </c>
      <c r="N10" s="1842" t="s">
        <v>1505</v>
      </c>
      <c r="O10" s="1842" t="s">
        <v>1308</v>
      </c>
      <c r="P10" s="1843" t="s">
        <v>1305</v>
      </c>
      <c r="Q10" s="1843" t="s">
        <v>1306</v>
      </c>
      <c r="R10" s="1844" t="s">
        <v>1309</v>
      </c>
    </row>
    <row r="11" spans="1:23">
      <c r="B11" s="1830"/>
      <c r="D11" s="1845"/>
      <c r="E11" s="1845"/>
      <c r="F11" s="1845"/>
      <c r="G11" s="1845"/>
      <c r="H11" s="1845"/>
      <c r="I11" s="1845"/>
      <c r="J11" s="1845"/>
      <c r="K11" s="1845"/>
      <c r="L11" s="1845"/>
      <c r="M11" s="1845"/>
      <c r="N11" s="1845"/>
      <c r="O11" s="1845"/>
      <c r="P11" s="2314" t="s">
        <v>1310</v>
      </c>
      <c r="Q11" s="2314"/>
      <c r="R11" s="1844"/>
    </row>
    <row r="12" spans="1:23" ht="15.5">
      <c r="B12" s="1846" t="s">
        <v>1311</v>
      </c>
      <c r="C12" s="1847"/>
      <c r="D12" s="1847"/>
      <c r="E12" s="1847"/>
      <c r="F12" s="1847"/>
      <c r="G12" s="1847"/>
      <c r="H12" s="1847"/>
      <c r="I12" s="1847"/>
      <c r="J12" s="1847"/>
      <c r="K12" s="1847"/>
      <c r="L12" s="1847"/>
      <c r="M12" s="1847"/>
      <c r="N12" s="1847"/>
      <c r="O12" s="1847"/>
      <c r="P12" s="1847"/>
      <c r="Q12" s="1847"/>
      <c r="R12" s="1834"/>
      <c r="S12" s="1835"/>
      <c r="T12" s="1835"/>
      <c r="U12" s="1835"/>
      <c r="V12" s="1835"/>
      <c r="W12" s="1834"/>
    </row>
    <row r="13" spans="1:23" ht="15.5">
      <c r="A13" s="1830" t="s">
        <v>1312</v>
      </c>
      <c r="B13" s="1848" t="s">
        <v>1313</v>
      </c>
      <c r="C13" s="1830" t="s">
        <v>1314</v>
      </c>
      <c r="D13" s="1830" t="s">
        <v>16</v>
      </c>
      <c r="E13" s="1830" t="s">
        <v>1315</v>
      </c>
      <c r="F13" s="1829"/>
      <c r="I13" s="1849">
        <v>87324068.389118314</v>
      </c>
      <c r="J13" s="1850" t="s">
        <v>254</v>
      </c>
      <c r="K13" s="1849"/>
      <c r="L13" s="1849"/>
      <c r="M13" s="1849">
        <v>-17191031.303985991</v>
      </c>
      <c r="N13" s="1849"/>
      <c r="O13" s="1849"/>
      <c r="P13" s="2088">
        <f>SUM(I13:O13)</f>
        <v>70133037.085132331</v>
      </c>
      <c r="Q13" s="1851" t="s">
        <v>254</v>
      </c>
      <c r="R13" s="1852" t="s">
        <v>678</v>
      </c>
      <c r="S13" s="1835"/>
      <c r="T13" s="1835"/>
      <c r="U13" s="1835"/>
      <c r="V13" s="1835"/>
      <c r="W13" s="1834"/>
    </row>
    <row r="14" spans="1:23" ht="15.5">
      <c r="A14" s="1830" t="s">
        <v>1316</v>
      </c>
      <c r="B14" s="1848" t="s">
        <v>1317</v>
      </c>
      <c r="C14" s="1838" t="s">
        <v>1318</v>
      </c>
      <c r="D14" s="1838" t="s">
        <v>872</v>
      </c>
      <c r="E14" s="1830" t="s">
        <v>1315</v>
      </c>
      <c r="F14" s="1853">
        <f>+'PSO WS C-5-A '!I19</f>
        <v>-8623261.5999999996</v>
      </c>
      <c r="G14" s="1839" t="s">
        <v>1319</v>
      </c>
      <c r="H14" s="1839" t="s">
        <v>1320</v>
      </c>
      <c r="I14" s="1850"/>
      <c r="J14" s="1852">
        <v>-7095629.3284822376</v>
      </c>
      <c r="K14" s="1854"/>
      <c r="L14" s="1854"/>
      <c r="M14" s="1854"/>
      <c r="N14" s="1854">
        <v>335293.92464561958</v>
      </c>
      <c r="O14" s="1854">
        <v>0</v>
      </c>
      <c r="P14" s="1851"/>
      <c r="Q14" s="2088">
        <f>SUM(J14:O14)</f>
        <v>-6760335.4038366182</v>
      </c>
      <c r="R14" s="1852" t="s">
        <v>678</v>
      </c>
      <c r="S14" s="1835"/>
      <c r="T14" s="1835"/>
      <c r="U14" s="1835"/>
      <c r="V14" s="1835"/>
      <c r="W14" s="1834"/>
    </row>
    <row r="15" spans="1:23" ht="15.5">
      <c r="A15" s="1830" t="s">
        <v>1321</v>
      </c>
      <c r="B15" s="1848" t="s">
        <v>1322</v>
      </c>
      <c r="C15" s="1838" t="s">
        <v>1323</v>
      </c>
      <c r="D15" s="1838" t="s">
        <v>872</v>
      </c>
      <c r="E15" s="1830" t="s">
        <v>1315</v>
      </c>
      <c r="F15" s="1829"/>
      <c r="I15" s="1852">
        <v>7095629.3284822367</v>
      </c>
      <c r="J15" s="1851"/>
      <c r="K15" s="1854"/>
      <c r="L15" s="1854"/>
      <c r="M15" s="1854">
        <v>-335293.92464561958</v>
      </c>
      <c r="N15" s="1854"/>
      <c r="O15" s="1854"/>
      <c r="P15" s="2088">
        <f>SUM(I15:O15)</f>
        <v>6760335.4038366172</v>
      </c>
      <c r="Q15" s="1851"/>
      <c r="R15" s="1852" t="s">
        <v>678</v>
      </c>
      <c r="S15" s="1835"/>
      <c r="T15" s="1835"/>
      <c r="U15" s="1835"/>
      <c r="V15" s="1835"/>
      <c r="W15" s="1834"/>
    </row>
    <row r="16" spans="1:23" ht="23">
      <c r="A16" s="1830" t="s">
        <v>1324</v>
      </c>
      <c r="B16" s="1848" t="s">
        <v>1325</v>
      </c>
      <c r="C16" s="1830" t="s">
        <v>1326</v>
      </c>
      <c r="D16" s="1830" t="s">
        <v>872</v>
      </c>
      <c r="E16" s="1830" t="s">
        <v>1315</v>
      </c>
      <c r="F16" s="1853">
        <f>+'PSO WS C-5-A '!I26</f>
        <v>-352717667</v>
      </c>
      <c r="G16" s="1839" t="s">
        <v>1319</v>
      </c>
      <c r="H16" s="1839" t="s">
        <v>1320</v>
      </c>
      <c r="I16" s="1851" t="s">
        <v>254</v>
      </c>
      <c r="J16" s="1854">
        <v>-267257514.95361763</v>
      </c>
      <c r="K16" s="1855"/>
      <c r="L16" s="1855"/>
      <c r="M16" s="1855"/>
      <c r="N16" s="1855">
        <v>53739784.129820764</v>
      </c>
      <c r="O16" s="1855">
        <v>0</v>
      </c>
      <c r="P16" s="1851" t="s">
        <v>254</v>
      </c>
      <c r="Q16" s="2088">
        <f>SUM(J16:O16)</f>
        <v>-213517730.82379687</v>
      </c>
      <c r="R16" s="1856" t="s">
        <v>1327</v>
      </c>
      <c r="S16" s="1835"/>
      <c r="T16" s="1835"/>
      <c r="U16" s="1835"/>
      <c r="V16" s="1835"/>
      <c r="W16" s="1834"/>
    </row>
    <row r="17" spans="1:23" ht="23">
      <c r="A17" s="1830" t="s">
        <v>1328</v>
      </c>
      <c r="B17" s="1848" t="s">
        <v>1325</v>
      </c>
      <c r="C17" s="1830" t="s">
        <v>1326</v>
      </c>
      <c r="D17" s="1830" t="s">
        <v>871</v>
      </c>
      <c r="E17" s="1830" t="s">
        <v>1315</v>
      </c>
      <c r="F17" s="1857">
        <f>+'PSO WS C-5-A '!I27</f>
        <v>-61459332.990000002</v>
      </c>
      <c r="G17" s="1839" t="s">
        <v>1329</v>
      </c>
      <c r="H17" s="1839" t="s">
        <v>1330</v>
      </c>
      <c r="I17" s="1851"/>
      <c r="J17" s="1854">
        <v>0.20057346671819687</v>
      </c>
      <c r="K17" s="1854"/>
      <c r="L17" s="1854"/>
      <c r="M17" s="1854"/>
      <c r="N17" s="1854">
        <v>0</v>
      </c>
      <c r="O17" s="1854">
        <v>0</v>
      </c>
      <c r="P17" s="1851"/>
      <c r="Q17" s="2088">
        <f>SUM(J17:O17)</f>
        <v>0.20057346671819687</v>
      </c>
      <c r="R17" s="1856" t="s">
        <v>1331</v>
      </c>
      <c r="S17" s="1835"/>
      <c r="T17" s="1835"/>
      <c r="U17" s="1835"/>
      <c r="V17" s="1835"/>
      <c r="W17" s="1834"/>
    </row>
    <row r="18" spans="1:23" ht="15.5">
      <c r="A18" s="1830" t="s">
        <v>1332</v>
      </c>
      <c r="B18" s="1848" t="s">
        <v>1333</v>
      </c>
      <c r="C18" s="1830" t="s">
        <v>1334</v>
      </c>
      <c r="D18" s="1830" t="s">
        <v>872</v>
      </c>
      <c r="E18" s="1830" t="s">
        <v>1315</v>
      </c>
      <c r="F18" s="1857"/>
      <c r="G18" s="1839"/>
      <c r="H18" s="1839"/>
      <c r="I18" s="1854">
        <v>267257514.95361763</v>
      </c>
      <c r="J18" s="1851"/>
      <c r="K18" s="1854"/>
      <c r="L18" s="1854"/>
      <c r="M18" s="1854">
        <v>-53739784.129820764</v>
      </c>
      <c r="N18" s="1854"/>
      <c r="O18" s="1854"/>
      <c r="P18" s="1858">
        <f>SUM(I18:O18)</f>
        <v>213517730.82379687</v>
      </c>
      <c r="Q18" s="1851"/>
      <c r="R18" s="1852" t="s">
        <v>678</v>
      </c>
      <c r="S18" s="1835"/>
      <c r="T18" s="1835"/>
      <c r="U18" s="1835"/>
      <c r="V18" s="1835"/>
      <c r="W18" s="1834"/>
    </row>
    <row r="19" spans="1:23" ht="15.5">
      <c r="A19" s="1830" t="s">
        <v>1335</v>
      </c>
      <c r="B19" s="1848" t="s">
        <v>1333</v>
      </c>
      <c r="C19" s="1830" t="s">
        <v>1334</v>
      </c>
      <c r="D19" s="1830" t="s">
        <v>871</v>
      </c>
      <c r="E19" s="1830" t="s">
        <v>1315</v>
      </c>
      <c r="F19" s="1857"/>
      <c r="G19" s="1839"/>
      <c r="H19" s="1839"/>
      <c r="I19" s="1854">
        <v>-0.20057346671819687</v>
      </c>
      <c r="J19" s="1851"/>
      <c r="K19" s="1854"/>
      <c r="L19" s="1854"/>
      <c r="M19" s="1854">
        <v>0</v>
      </c>
      <c r="N19" s="1854"/>
      <c r="O19" s="1854"/>
      <c r="P19" s="1858">
        <f>SUM(I19:O19)</f>
        <v>-0.20057346671819687</v>
      </c>
      <c r="Q19" s="1851"/>
      <c r="R19" s="1852" t="s">
        <v>678</v>
      </c>
      <c r="S19" s="1835"/>
      <c r="T19" s="1835"/>
      <c r="U19" s="1835"/>
      <c r="V19" s="1835"/>
      <c r="W19" s="1834"/>
    </row>
    <row r="20" spans="1:23" ht="23">
      <c r="A20" s="1830" t="s">
        <v>1336</v>
      </c>
      <c r="B20" s="1848" t="s">
        <v>1337</v>
      </c>
      <c r="C20" s="1830" t="s">
        <v>1338</v>
      </c>
      <c r="D20" s="1830" t="s">
        <v>871</v>
      </c>
      <c r="E20" s="1830" t="s">
        <v>1315</v>
      </c>
      <c r="F20" s="1857">
        <f>+'PSO WS C-5-A '!I31</f>
        <v>-3241303.4700000063</v>
      </c>
      <c r="G20" s="1839" t="s">
        <v>1329</v>
      </c>
      <c r="H20" s="1839" t="s">
        <v>1330</v>
      </c>
      <c r="I20" s="1851" t="s">
        <v>254</v>
      </c>
      <c r="J20" s="1854">
        <v>-1.0144839445129037</v>
      </c>
      <c r="K20" s="1854"/>
      <c r="L20" s="1854"/>
      <c r="M20" s="1854"/>
      <c r="N20" s="1854"/>
      <c r="O20" s="1854">
        <v>0</v>
      </c>
      <c r="P20" s="1859" t="s">
        <v>254</v>
      </c>
      <c r="Q20" s="2088">
        <f>SUM(J20:O20)</f>
        <v>-1.0144839445129037</v>
      </c>
      <c r="R20" s="1856" t="s">
        <v>1339</v>
      </c>
      <c r="S20" s="1835"/>
      <c r="T20" s="1835"/>
      <c r="U20" s="1835"/>
      <c r="V20" s="1835"/>
      <c r="W20" s="1834"/>
    </row>
    <row r="21" spans="1:23" ht="15.5">
      <c r="A21" s="1830" t="s">
        <v>1340</v>
      </c>
      <c r="B21" s="1848" t="s">
        <v>1341</v>
      </c>
      <c r="C21" s="1830" t="s">
        <v>1342</v>
      </c>
      <c r="D21" s="1830" t="s">
        <v>871</v>
      </c>
      <c r="E21" s="1830" t="s">
        <v>1315</v>
      </c>
      <c r="F21" s="1853"/>
      <c r="G21" s="1839"/>
      <c r="H21" s="1839"/>
      <c r="I21" s="1854">
        <v>1.6721082916483283</v>
      </c>
      <c r="J21" s="1860"/>
      <c r="K21" s="1854"/>
      <c r="L21" s="1854"/>
      <c r="M21" s="1854">
        <v>0</v>
      </c>
      <c r="N21" s="1854"/>
      <c r="O21" s="1854"/>
      <c r="P21" s="1858">
        <f>SUM(I21:O21)</f>
        <v>1.6721082916483283</v>
      </c>
      <c r="Q21" s="1859"/>
      <c r="R21" s="1852" t="s">
        <v>678</v>
      </c>
      <c r="S21" s="1835"/>
      <c r="T21" s="1835"/>
      <c r="U21" s="1835"/>
      <c r="V21" s="1835"/>
      <c r="W21" s="1834"/>
    </row>
    <row r="22" spans="1:23" ht="15.5">
      <c r="A22" s="1830" t="s">
        <v>1343</v>
      </c>
      <c r="B22" s="1848" t="s">
        <v>1344</v>
      </c>
      <c r="C22" s="1830" t="s">
        <v>1402</v>
      </c>
      <c r="D22" s="1830" t="s">
        <v>16</v>
      </c>
      <c r="E22" s="1830" t="s">
        <v>1401</v>
      </c>
      <c r="F22" s="1853"/>
      <c r="G22" s="1839"/>
      <c r="H22" s="1839"/>
      <c r="I22" s="1854">
        <v>2042526.1907672319</v>
      </c>
      <c r="J22" s="1860"/>
      <c r="K22" s="1854"/>
      <c r="L22" s="1854"/>
      <c r="M22" s="1854">
        <v>0</v>
      </c>
      <c r="N22" s="1854">
        <v>-200981</v>
      </c>
      <c r="O22" s="1854"/>
      <c r="P22" s="1858">
        <f>SUM(I22:O22)</f>
        <v>1841545.1907672319</v>
      </c>
      <c r="Q22" s="1859"/>
      <c r="R22" s="1852" t="s">
        <v>678</v>
      </c>
      <c r="S22" s="1835"/>
      <c r="T22" s="1835"/>
      <c r="U22" s="1835"/>
      <c r="V22" s="1835"/>
      <c r="W22" s="1834"/>
    </row>
    <row r="23" spans="1:23" ht="23">
      <c r="A23" s="1830" t="s">
        <v>1345</v>
      </c>
      <c r="B23" s="1848" t="s">
        <v>1337</v>
      </c>
      <c r="C23" s="1830" t="s">
        <v>1403</v>
      </c>
      <c r="D23" s="1830" t="s">
        <v>871</v>
      </c>
      <c r="E23" s="1830" t="s">
        <v>1401</v>
      </c>
      <c r="F23" s="1853">
        <v>11371126</v>
      </c>
      <c r="G23" s="1839" t="s">
        <v>1346</v>
      </c>
      <c r="H23" s="1839"/>
      <c r="I23" s="1860"/>
      <c r="J23" s="1854">
        <v>10348220</v>
      </c>
      <c r="K23" s="1854"/>
      <c r="L23" s="1854"/>
      <c r="M23" s="1854"/>
      <c r="N23" s="1854">
        <v>-1034821.9999999999</v>
      </c>
      <c r="O23" s="1854">
        <v>0</v>
      </c>
      <c r="P23" s="1859"/>
      <c r="Q23" s="1858">
        <f>SUM(J23:O23)</f>
        <v>9313398</v>
      </c>
      <c r="R23" s="1856" t="s">
        <v>1399</v>
      </c>
      <c r="S23" s="1835"/>
      <c r="T23" s="1835"/>
      <c r="U23" s="1835"/>
      <c r="V23" s="1835"/>
      <c r="W23" s="1834"/>
    </row>
    <row r="24" spans="1:23" ht="23">
      <c r="A24" s="1830" t="s">
        <v>1347</v>
      </c>
      <c r="B24" s="1848" t="s">
        <v>1348</v>
      </c>
      <c r="C24" s="1830" t="s">
        <v>1404</v>
      </c>
      <c r="D24" s="1830" t="s">
        <v>871</v>
      </c>
      <c r="E24" s="1830" t="s">
        <v>1401</v>
      </c>
      <c r="F24" s="1853">
        <f>-76037360+21888469</f>
        <v>-54148891</v>
      </c>
      <c r="G24" s="1839" t="s">
        <v>1346</v>
      </c>
      <c r="H24" s="1839"/>
      <c r="I24" s="1860"/>
      <c r="J24" s="1854">
        <v>-49277235.000000015</v>
      </c>
      <c r="K24" s="1854"/>
      <c r="L24" s="1854"/>
      <c r="M24" s="1854"/>
      <c r="N24" s="1854">
        <v>4927723.5000000009</v>
      </c>
      <c r="O24" s="1854">
        <v>0</v>
      </c>
      <c r="P24" s="1859"/>
      <c r="Q24" s="1858">
        <f>SUM(J24:O24)</f>
        <v>-44349511.500000015</v>
      </c>
      <c r="R24" s="1856" t="s">
        <v>1400</v>
      </c>
      <c r="S24" s="1835"/>
      <c r="T24" s="1835"/>
      <c r="U24" s="1835"/>
      <c r="V24" s="1835"/>
      <c r="W24" s="1834"/>
    </row>
    <row r="25" spans="1:23" ht="15.5">
      <c r="A25" s="1830" t="s">
        <v>1349</v>
      </c>
      <c r="B25" s="1848" t="s">
        <v>1350</v>
      </c>
      <c r="C25" s="1830" t="s">
        <v>1405</v>
      </c>
      <c r="D25" s="1830" t="s">
        <v>871</v>
      </c>
      <c r="E25" s="1830" t="s">
        <v>1401</v>
      </c>
      <c r="F25" s="1853"/>
      <c r="G25" s="1839"/>
      <c r="H25" s="1839"/>
      <c r="I25" s="1854">
        <v>49277235.000000015</v>
      </c>
      <c r="J25" s="1860"/>
      <c r="K25" s="1854"/>
      <c r="L25" s="1854"/>
      <c r="M25" s="1854">
        <v>0</v>
      </c>
      <c r="N25" s="1854">
        <v>-4927723.5000000009</v>
      </c>
      <c r="O25" s="1854"/>
      <c r="P25" s="1858">
        <f>SUM(I25:O25)</f>
        <v>44349511.500000015</v>
      </c>
      <c r="Q25" s="1859"/>
      <c r="R25" s="1852" t="s">
        <v>1356</v>
      </c>
      <c r="S25" s="1835"/>
      <c r="T25" s="1835"/>
      <c r="U25" s="1835"/>
      <c r="V25" s="1835"/>
      <c r="W25" s="1834"/>
    </row>
    <row r="26" spans="1:23" ht="15.5">
      <c r="A26" s="1830" t="s">
        <v>1351</v>
      </c>
      <c r="B26" s="1839" t="s">
        <v>1352</v>
      </c>
      <c r="F26" s="1853"/>
      <c r="G26" s="1861"/>
      <c r="H26" s="1839"/>
      <c r="I26" s="1854"/>
      <c r="J26" s="1854"/>
      <c r="K26" s="1854"/>
      <c r="L26" s="1854"/>
      <c r="M26" s="1854"/>
      <c r="N26" s="1854"/>
      <c r="O26" s="1854"/>
      <c r="P26" s="1862"/>
      <c r="Q26" s="1858"/>
      <c r="R26" s="1863"/>
      <c r="S26" s="1835"/>
      <c r="T26" s="1835"/>
      <c r="U26" s="1835"/>
      <c r="V26" s="1835"/>
      <c r="W26" s="1834"/>
    </row>
    <row r="27" spans="1:23" ht="15.5">
      <c r="B27" s="1835"/>
      <c r="C27" s="1835"/>
      <c r="D27" s="1835"/>
      <c r="E27" s="1835"/>
      <c r="F27" s="1835"/>
      <c r="G27" s="1864"/>
      <c r="H27" s="1835"/>
      <c r="I27" s="1835"/>
      <c r="J27" s="1865"/>
      <c r="K27" s="1835"/>
      <c r="L27" s="1835"/>
      <c r="M27" s="1835"/>
      <c r="N27" s="1835"/>
      <c r="O27" s="1835"/>
      <c r="P27" s="1865"/>
      <c r="Q27" s="1835"/>
      <c r="R27" s="1835"/>
      <c r="S27" s="1835"/>
      <c r="T27" s="1835"/>
      <c r="U27" s="1835"/>
      <c r="V27" s="1835"/>
      <c r="W27" s="1834"/>
    </row>
    <row r="28" spans="1:23" s="1834" customFormat="1" ht="15.5">
      <c r="A28" s="1830"/>
      <c r="B28" s="1846" t="s">
        <v>1353</v>
      </c>
      <c r="R28" s="1866"/>
      <c r="S28" s="1835"/>
      <c r="T28" s="1835"/>
      <c r="U28" s="1835"/>
      <c r="V28" s="1835"/>
    </row>
    <row r="29" spans="1:23" ht="11.5" customHeight="1">
      <c r="A29" s="1830" t="s">
        <v>1354</v>
      </c>
      <c r="B29" s="1829">
        <v>182.3</v>
      </c>
      <c r="C29" s="1867" t="s">
        <v>1355</v>
      </c>
      <c r="D29" s="1851" t="s">
        <v>254</v>
      </c>
      <c r="E29" s="1830" t="s">
        <v>1315</v>
      </c>
      <c r="F29" s="1851"/>
      <c r="G29" s="1851" t="s">
        <v>254</v>
      </c>
      <c r="H29" s="1851"/>
      <c r="I29" s="1868">
        <v>0</v>
      </c>
      <c r="J29" s="1851"/>
      <c r="K29" s="1854"/>
      <c r="L29" s="1854"/>
      <c r="M29" s="1854">
        <v>0</v>
      </c>
      <c r="N29" s="1851"/>
      <c r="O29" s="1851"/>
      <c r="P29" s="1862">
        <f>SUM(I29:O29)</f>
        <v>0</v>
      </c>
      <c r="Q29" s="1869"/>
      <c r="R29" s="1852" t="s">
        <v>1356</v>
      </c>
      <c r="S29" s="1835"/>
      <c r="T29" s="1835"/>
      <c r="U29" s="1835"/>
      <c r="V29" s="1835"/>
      <c r="W29" s="1834"/>
    </row>
    <row r="30" spans="1:23" ht="11.5" customHeight="1">
      <c r="A30" s="1830" t="s">
        <v>1357</v>
      </c>
      <c r="B30" s="1829">
        <v>2544001</v>
      </c>
      <c r="C30" s="1867" t="s">
        <v>1358</v>
      </c>
      <c r="D30" s="1851" t="s">
        <v>254</v>
      </c>
      <c r="E30" s="1830" t="s">
        <v>1315</v>
      </c>
      <c r="F30" s="1851"/>
      <c r="G30" s="1851" t="s">
        <v>254</v>
      </c>
      <c r="H30" s="1851"/>
      <c r="I30" s="1868">
        <v>-361677214.14275301</v>
      </c>
      <c r="J30" s="1851"/>
      <c r="K30" s="1854"/>
      <c r="L30" s="1854"/>
      <c r="M30" s="1854">
        <v>71266109.35845238</v>
      </c>
      <c r="N30" s="1851"/>
      <c r="O30" s="1851" t="s">
        <v>254</v>
      </c>
      <c r="P30" s="1862">
        <f>SUM(I30:O30)</f>
        <v>-290411104.78430063</v>
      </c>
      <c r="Q30" s="1869"/>
      <c r="R30" s="1852" t="s">
        <v>1356</v>
      </c>
      <c r="S30" s="1834"/>
      <c r="T30" s="1834"/>
      <c r="U30" s="1834"/>
      <c r="V30" s="1834"/>
      <c r="W30" s="1834"/>
    </row>
    <row r="31" spans="1:23" ht="11.5" customHeight="1">
      <c r="A31" s="1830" t="s">
        <v>1359</v>
      </c>
      <c r="B31" s="1829">
        <v>2544002</v>
      </c>
      <c r="C31" s="1867" t="s">
        <v>1358</v>
      </c>
      <c r="D31" s="1851"/>
      <c r="E31" s="1830" t="s">
        <v>1401</v>
      </c>
      <c r="F31" s="1851"/>
      <c r="G31" s="1851"/>
      <c r="H31" s="1851"/>
      <c r="I31" s="1868">
        <v>-51319761.190767244</v>
      </c>
      <c r="J31" s="1851"/>
      <c r="K31" s="1854"/>
      <c r="L31" s="1854"/>
      <c r="M31" s="1854">
        <v>5128704.5000000009</v>
      </c>
      <c r="N31" s="1851"/>
      <c r="O31" s="1851"/>
      <c r="P31" s="1862">
        <f>SUM(I31:O31)</f>
        <v>-46191056.690767244</v>
      </c>
      <c r="Q31" s="1869"/>
      <c r="R31" s="1852" t="s">
        <v>1356</v>
      </c>
      <c r="S31" s="1834"/>
      <c r="T31" s="1834"/>
      <c r="U31" s="1834"/>
      <c r="V31" s="1834"/>
      <c r="W31" s="1834"/>
    </row>
    <row r="32" spans="1:23" ht="11.5" customHeight="1">
      <c r="A32" s="1830" t="s">
        <v>1360</v>
      </c>
      <c r="B32" s="1839" t="s">
        <v>1352</v>
      </c>
      <c r="C32" s="1867"/>
      <c r="D32" s="1851"/>
      <c r="F32" s="1851"/>
      <c r="G32" s="1851"/>
      <c r="H32" s="1851"/>
      <c r="I32" s="1854"/>
      <c r="J32" s="1851"/>
      <c r="K32" s="1854"/>
      <c r="L32" s="1854"/>
      <c r="M32" s="1854"/>
      <c r="N32" s="1851"/>
      <c r="O32" s="1851"/>
      <c r="P32" s="1862"/>
      <c r="Q32" s="1869"/>
      <c r="R32" s="1852"/>
      <c r="S32" s="1834"/>
      <c r="T32" s="1834"/>
      <c r="U32" s="1834"/>
      <c r="V32" s="1834"/>
      <c r="W32" s="1834"/>
    </row>
    <row r="33" spans="1:23">
      <c r="C33" s="1867"/>
      <c r="D33" s="1838"/>
      <c r="E33" s="1838"/>
      <c r="F33" s="1838"/>
      <c r="G33" s="1838"/>
      <c r="H33" s="1838"/>
      <c r="I33" s="1838"/>
      <c r="J33" s="1838"/>
      <c r="K33" s="1838"/>
      <c r="L33" s="1838"/>
      <c r="M33" s="1838"/>
      <c r="N33" s="1838"/>
      <c r="O33" s="1838"/>
      <c r="P33" s="1838"/>
      <c r="Q33" s="1838"/>
      <c r="R33" s="1870"/>
      <c r="S33" s="1834"/>
      <c r="T33" s="1834"/>
      <c r="U33" s="1834"/>
      <c r="V33" s="1834"/>
      <c r="W33" s="1834"/>
    </row>
    <row r="34" spans="1:23" ht="12" thickBot="1">
      <c r="A34" s="1871">
        <v>3</v>
      </c>
      <c r="B34" s="2315" t="str">
        <f>"Total For Accounting Entries (Sum of Lines "&amp;A13&amp;" through "&amp;A32&amp;")"</f>
        <v>Total For Accounting Entries (Sum of Lines 1a through 2d)</v>
      </c>
      <c r="C34" s="2315"/>
      <c r="D34" s="1851"/>
      <c r="E34" s="1851"/>
      <c r="F34" s="1872">
        <f>SUM(F13:F33)</f>
        <v>-468819330.06000006</v>
      </c>
      <c r="G34" s="1851"/>
      <c r="H34" s="1851"/>
      <c r="I34" s="1872">
        <f>SUM(I13:I33)</f>
        <v>0</v>
      </c>
      <c r="J34" s="1872">
        <f>SUM(J13:J33)</f>
        <v>-313282160.09601033</v>
      </c>
      <c r="K34" s="1872">
        <f>SUM(K13:K33)</f>
        <v>0</v>
      </c>
      <c r="L34" s="1872">
        <f>SUM(L13:L33)</f>
        <v>0</v>
      </c>
      <c r="M34" s="1872">
        <f>SUM(M13:M33)</f>
        <v>5128704.5000000009</v>
      </c>
      <c r="N34" s="1872">
        <f>-SUM(N13:N33)</f>
        <v>-52839275.054466382</v>
      </c>
      <c r="O34" s="1872">
        <f>-SUM(O13:O33)</f>
        <v>0</v>
      </c>
      <c r="P34" s="1872">
        <f>SUM(P13:P33)</f>
        <v>0</v>
      </c>
      <c r="Q34" s="1872">
        <f>SUM(Q13:Q33)</f>
        <v>-255314180.54154396</v>
      </c>
      <c r="R34" s="1875"/>
      <c r="S34" s="1834"/>
      <c r="T34" s="1834"/>
      <c r="U34" s="1834"/>
      <c r="V34" s="1834"/>
      <c r="W34" s="1834"/>
    </row>
    <row r="35" spans="1:23" ht="12" thickTop="1">
      <c r="C35" s="1867"/>
      <c r="D35" s="1838"/>
      <c r="E35" s="1838"/>
      <c r="F35" s="1838"/>
      <c r="G35" s="1838"/>
      <c r="H35" s="1838"/>
      <c r="I35" s="1876"/>
      <c r="J35" s="1857"/>
      <c r="K35" s="1877"/>
      <c r="L35" s="1877"/>
      <c r="M35" s="1877"/>
      <c r="N35" s="1878" t="s">
        <v>1504</v>
      </c>
      <c r="O35" s="1878"/>
      <c r="P35" s="1877"/>
      <c r="Q35" s="1879"/>
      <c r="R35" s="1875"/>
      <c r="S35" s="1834"/>
      <c r="T35" s="1834"/>
      <c r="U35" s="1834"/>
      <c r="V35" s="1834"/>
      <c r="W35" s="1834"/>
    </row>
    <row r="36" spans="1:23">
      <c r="A36" s="1839" t="s">
        <v>1361</v>
      </c>
      <c r="C36" s="1867"/>
      <c r="D36" s="1838"/>
      <c r="E36" s="1838"/>
      <c r="F36" s="1838"/>
      <c r="G36" s="1838"/>
      <c r="H36" s="1838"/>
      <c r="I36" s="1876"/>
      <c r="J36" s="1857"/>
      <c r="K36" s="1877"/>
      <c r="L36" s="1877"/>
      <c r="M36" s="1877"/>
      <c r="N36" s="1857"/>
      <c r="O36" s="1857"/>
      <c r="P36" s="1877"/>
      <c r="Q36" s="1879"/>
      <c r="R36" s="1875"/>
      <c r="S36" s="1834"/>
      <c r="T36" s="1834"/>
      <c r="U36" s="1834"/>
      <c r="V36" s="1834"/>
      <c r="W36" s="1834"/>
    </row>
    <row r="37" spans="1:23">
      <c r="B37" s="1830"/>
      <c r="D37" s="1845"/>
      <c r="E37" s="1845"/>
      <c r="F37" s="1845"/>
      <c r="G37" s="1845"/>
      <c r="H37" s="1845"/>
      <c r="I37" s="1845" t="s">
        <v>1310</v>
      </c>
      <c r="J37" s="1845"/>
      <c r="K37" s="1845"/>
      <c r="L37" s="1845"/>
      <c r="M37" s="1845"/>
      <c r="N37" s="1845"/>
      <c r="O37" s="1845"/>
      <c r="P37" s="2314" t="s">
        <v>1310</v>
      </c>
      <c r="Q37" s="2314"/>
      <c r="R37" s="1844"/>
      <c r="V37" s="1834"/>
      <c r="W37" s="1834"/>
    </row>
    <row r="38" spans="1:23">
      <c r="B38" s="1846" t="s">
        <v>1311</v>
      </c>
      <c r="C38" s="1847"/>
      <c r="D38" s="1847"/>
      <c r="E38" s="1847"/>
      <c r="F38" s="1847"/>
      <c r="G38" s="1847"/>
      <c r="H38" s="1847"/>
      <c r="I38" s="1847"/>
      <c r="J38" s="1847"/>
      <c r="K38" s="1847"/>
      <c r="L38" s="1847"/>
      <c r="M38" s="1847"/>
      <c r="N38" s="1847"/>
      <c r="O38" s="1847"/>
      <c r="P38" s="1847"/>
      <c r="Q38" s="1847"/>
      <c r="R38" s="1834"/>
      <c r="V38" s="1834"/>
      <c r="W38" s="1834"/>
    </row>
    <row r="39" spans="1:23">
      <c r="A39" s="1830" t="s">
        <v>1362</v>
      </c>
      <c r="B39" s="1848" t="s">
        <v>1313</v>
      </c>
      <c r="C39" s="1830" t="s">
        <v>1314</v>
      </c>
      <c r="D39" s="1830" t="s">
        <v>16</v>
      </c>
      <c r="E39" s="1830" t="s">
        <v>1315</v>
      </c>
      <c r="F39" s="1829"/>
      <c r="I39" s="1854">
        <v>18664889.354799516</v>
      </c>
      <c r="J39" s="1860"/>
      <c r="K39" s="1854"/>
      <c r="L39" s="1854"/>
      <c r="M39" s="1854">
        <v>-448611.12232764182</v>
      </c>
      <c r="N39" s="1854"/>
      <c r="O39" s="1854"/>
      <c r="P39" s="1858">
        <f>SUM(I39:O39)</f>
        <v>18216278.232471876</v>
      </c>
      <c r="Q39" s="1881"/>
      <c r="R39" s="1852" t="s">
        <v>678</v>
      </c>
      <c r="S39" s="1882"/>
      <c r="T39" s="1882"/>
      <c r="V39" s="1883"/>
      <c r="W39" s="1834"/>
    </row>
    <row r="40" spans="1:23">
      <c r="A40" s="1830" t="s">
        <v>1363</v>
      </c>
      <c r="B40" s="1848" t="s">
        <v>1325</v>
      </c>
      <c r="C40" s="1830" t="s">
        <v>1326</v>
      </c>
      <c r="D40" s="1830" t="s">
        <v>872</v>
      </c>
      <c r="E40" s="1830" t="s">
        <v>1315</v>
      </c>
      <c r="F40" s="1853">
        <f>+'PSO WS C-5-A '!I47</f>
        <v>-73484727</v>
      </c>
      <c r="G40" s="1839" t="s">
        <v>1319</v>
      </c>
      <c r="H40" s="1839" t="s">
        <v>1320</v>
      </c>
      <c r="I40" s="1851"/>
      <c r="J40" s="1854">
        <v>-58641006.976199992</v>
      </c>
      <c r="K40" s="1854"/>
      <c r="L40" s="1854"/>
      <c r="M40" s="1854"/>
      <c r="N40" s="1854">
        <v>1426221</v>
      </c>
      <c r="O40" s="1854">
        <v>0</v>
      </c>
      <c r="P40" s="1881"/>
      <c r="Q40" s="2089">
        <f>SUM(J40:O40)</f>
        <v>-57214785.976199992</v>
      </c>
      <c r="R40" s="1852" t="s">
        <v>678</v>
      </c>
      <c r="S40" s="1882"/>
      <c r="T40" s="1882"/>
      <c r="V40" s="1884"/>
      <c r="W40" s="1834"/>
    </row>
    <row r="41" spans="1:23">
      <c r="A41" s="1830" t="s">
        <v>1364</v>
      </c>
      <c r="B41" s="1848" t="s">
        <v>1325</v>
      </c>
      <c r="C41" s="1830" t="s">
        <v>1326</v>
      </c>
      <c r="D41" s="1830" t="s">
        <v>871</v>
      </c>
      <c r="E41" s="1830" t="s">
        <v>1315</v>
      </c>
      <c r="F41" s="1857">
        <f>+'PSO WS C-5-A '!I48</f>
        <v>-4516009</v>
      </c>
      <c r="G41" s="1839" t="s">
        <v>1365</v>
      </c>
      <c r="H41" s="1839" t="s">
        <v>1366</v>
      </c>
      <c r="I41" s="1851"/>
      <c r="J41" s="1854">
        <v>-0.20953695010393858</v>
      </c>
      <c r="K41" s="1854"/>
      <c r="L41" s="1854"/>
      <c r="M41" s="1854"/>
      <c r="N41" s="1854">
        <v>0</v>
      </c>
      <c r="O41" s="1854">
        <v>0</v>
      </c>
      <c r="P41" s="1881"/>
      <c r="Q41" s="2089">
        <f>SUM(J41:O41)</f>
        <v>-0.20953695010393858</v>
      </c>
      <c r="R41" s="1852" t="s">
        <v>678</v>
      </c>
      <c r="S41" s="1882"/>
      <c r="T41" s="1882"/>
      <c r="V41" s="1884"/>
      <c r="W41" s="1834"/>
    </row>
    <row r="42" spans="1:23">
      <c r="A42" s="1830" t="s">
        <v>1367</v>
      </c>
      <c r="B42" s="1848" t="s">
        <v>1333</v>
      </c>
      <c r="C42" s="1830" t="s">
        <v>1334</v>
      </c>
      <c r="D42" s="1830" t="s">
        <v>872</v>
      </c>
      <c r="E42" s="1830" t="s">
        <v>1315</v>
      </c>
      <c r="F42" s="1857"/>
      <c r="G42" s="1839"/>
      <c r="H42" s="1839"/>
      <c r="I42" s="1854">
        <v>58641006.976199992</v>
      </c>
      <c r="J42" s="1851"/>
      <c r="K42" s="1854"/>
      <c r="L42" s="1854"/>
      <c r="M42" s="1854">
        <v>-1426221</v>
      </c>
      <c r="N42" s="1854"/>
      <c r="O42" s="1854"/>
      <c r="P42" s="1858">
        <f>SUM(I42:O42)</f>
        <v>57214785.976199992</v>
      </c>
      <c r="Q42" s="1881"/>
      <c r="R42" s="1852" t="s">
        <v>678</v>
      </c>
      <c r="S42" s="1882"/>
      <c r="T42" s="1882"/>
      <c r="V42" s="1882"/>
      <c r="W42" s="1834"/>
    </row>
    <row r="43" spans="1:23">
      <c r="A43" s="1830" t="s">
        <v>1368</v>
      </c>
      <c r="B43" s="1848" t="s">
        <v>1333</v>
      </c>
      <c r="C43" s="1830" t="s">
        <v>1334</v>
      </c>
      <c r="D43" s="1830" t="s">
        <v>871</v>
      </c>
      <c r="E43" s="1830" t="s">
        <v>1315</v>
      </c>
      <c r="F43" s="1857"/>
      <c r="G43" s="1839"/>
      <c r="H43" s="1839"/>
      <c r="I43" s="1854">
        <v>0.20953695010393858</v>
      </c>
      <c r="J43" s="1851"/>
      <c r="K43" s="1854"/>
      <c r="L43" s="1854"/>
      <c r="M43" s="1854">
        <v>0</v>
      </c>
      <c r="N43" s="1854"/>
      <c r="O43" s="1854"/>
      <c r="P43" s="1858">
        <f>SUM(I43:O43)</f>
        <v>0.20953695010393858</v>
      </c>
      <c r="Q43" s="1881"/>
      <c r="R43" s="1852" t="s">
        <v>678</v>
      </c>
      <c r="S43" s="1882"/>
      <c r="T43" s="1882"/>
      <c r="V43" s="1884"/>
      <c r="W43" s="1834"/>
    </row>
    <row r="44" spans="1:23">
      <c r="A44" s="1830" t="s">
        <v>1369</v>
      </c>
      <c r="B44" s="1848" t="s">
        <v>1337</v>
      </c>
      <c r="C44" s="1830" t="s">
        <v>1338</v>
      </c>
      <c r="D44" s="1830" t="s">
        <v>871</v>
      </c>
      <c r="E44" s="1830" t="s">
        <v>1315</v>
      </c>
      <c r="F44" s="1857">
        <f>+'PSO WS C-5-A '!I50</f>
        <v>1993972</v>
      </c>
      <c r="G44" s="1839" t="s">
        <v>1365</v>
      </c>
      <c r="H44" s="1839" t="s">
        <v>1366</v>
      </c>
      <c r="I44" s="1851" t="s">
        <v>254</v>
      </c>
      <c r="J44" s="1854">
        <v>-3.04630515165627E-2</v>
      </c>
      <c r="K44" s="1854"/>
      <c r="L44" s="1854"/>
      <c r="M44" s="1854"/>
      <c r="N44" s="1854"/>
      <c r="O44" s="1854">
        <v>0</v>
      </c>
      <c r="P44" s="1885" t="s">
        <v>254</v>
      </c>
      <c r="Q44" s="2089">
        <f>SUM(J44:O44)</f>
        <v>-3.04630515165627E-2</v>
      </c>
      <c r="R44" s="1852" t="s">
        <v>678</v>
      </c>
      <c r="T44" s="1882"/>
      <c r="V44" s="1884"/>
      <c r="W44" s="1834"/>
    </row>
    <row r="45" spans="1:23" ht="12">
      <c r="A45" s="1830" t="s">
        <v>1370</v>
      </c>
      <c r="B45" s="1848" t="s">
        <v>1341</v>
      </c>
      <c r="C45" s="1830" t="s">
        <v>1342</v>
      </c>
      <c r="D45" s="1830" t="s">
        <v>871</v>
      </c>
      <c r="E45" s="1830" t="s">
        <v>1315</v>
      </c>
      <c r="F45" s="1886"/>
      <c r="G45" s="1887"/>
      <c r="H45" s="1887"/>
      <c r="I45" s="1854">
        <v>-1.3295369478873909</v>
      </c>
      <c r="J45" s="1860"/>
      <c r="K45" s="1854"/>
      <c r="L45" s="1854"/>
      <c r="M45" s="1854">
        <v>0</v>
      </c>
      <c r="N45" s="1854"/>
      <c r="O45" s="1854"/>
      <c r="P45" s="1858">
        <f>SUM(I45:O45)</f>
        <v>-1.3295369478873909</v>
      </c>
      <c r="Q45" s="1885"/>
      <c r="R45" s="1852" t="s">
        <v>678</v>
      </c>
      <c r="S45" s="1888"/>
      <c r="T45" s="1889"/>
      <c r="U45" s="1890"/>
      <c r="V45" s="1884"/>
      <c r="W45" s="1834"/>
    </row>
    <row r="46" spans="1:23" ht="12">
      <c r="A46" s="1830" t="s">
        <v>1371</v>
      </c>
      <c r="B46" s="1848" t="s">
        <v>1344</v>
      </c>
      <c r="C46" s="1830" t="s">
        <v>1402</v>
      </c>
      <c r="D46" s="1830" t="s">
        <v>16</v>
      </c>
      <c r="E46" s="1830" t="s">
        <v>1401</v>
      </c>
      <c r="F46" s="1886"/>
      <c r="G46" s="1887"/>
      <c r="H46" s="1887"/>
      <c r="I46" s="1854">
        <v>408941.64365211205</v>
      </c>
      <c r="J46" s="1860"/>
      <c r="K46" s="1854"/>
      <c r="L46" s="1854"/>
      <c r="M46" s="1854">
        <v>-40239.51</v>
      </c>
      <c r="N46" s="1854"/>
      <c r="O46" s="1854"/>
      <c r="P46" s="1858">
        <f>SUM(I46:O46)</f>
        <v>368702.13365211204</v>
      </c>
      <c r="Q46" s="1885"/>
      <c r="R46" s="1852" t="s">
        <v>678</v>
      </c>
      <c r="S46" s="1888"/>
      <c r="T46" s="1889"/>
      <c r="U46" s="1890"/>
      <c r="V46" s="1884"/>
      <c r="W46" s="1834"/>
    </row>
    <row r="47" spans="1:23" ht="12">
      <c r="A47" s="1830" t="s">
        <v>1372</v>
      </c>
      <c r="B47" s="1848" t="s">
        <v>1337</v>
      </c>
      <c r="C47" s="1830" t="s">
        <v>1403</v>
      </c>
      <c r="D47" s="1830" t="s">
        <v>871</v>
      </c>
      <c r="E47" s="1830" t="s">
        <v>1401</v>
      </c>
      <c r="F47" s="1857">
        <v>2287138</v>
      </c>
      <c r="G47" s="1839" t="s">
        <v>1346</v>
      </c>
      <c r="H47" s="1887"/>
      <c r="I47" s="1860"/>
      <c r="J47" s="1854">
        <v>2071855</v>
      </c>
      <c r="K47" s="1854"/>
      <c r="L47" s="1854"/>
      <c r="M47" s="1854"/>
      <c r="N47" s="1854">
        <v>-207185.50000000003</v>
      </c>
      <c r="O47" s="1854">
        <v>0</v>
      </c>
      <c r="P47" s="1885"/>
      <c r="Q47" s="2089">
        <f t="shared" ref="Q47:Q48" si="0">SUM(J47:O47)</f>
        <v>1864669.5</v>
      </c>
      <c r="R47" s="1852" t="s">
        <v>678</v>
      </c>
      <c r="S47" s="1888"/>
      <c r="T47" s="1889"/>
      <c r="U47" s="1890"/>
      <c r="V47" s="1884"/>
      <c r="W47" s="1834"/>
    </row>
    <row r="48" spans="1:23" ht="12">
      <c r="A48" s="1830" t="s">
        <v>1373</v>
      </c>
      <c r="B48" s="1848" t="s">
        <v>1348</v>
      </c>
      <c r="C48" s="1830" t="s">
        <v>1404</v>
      </c>
      <c r="D48" s="1830" t="s">
        <v>871</v>
      </c>
      <c r="E48" s="1830" t="s">
        <v>1401</v>
      </c>
      <c r="F48" s="1857">
        <v>-10891132</v>
      </c>
      <c r="G48" s="1839" t="s">
        <v>1346</v>
      </c>
      <c r="H48" s="1887"/>
      <c r="I48" s="1860"/>
      <c r="J48" s="1854">
        <v>-9865975</v>
      </c>
      <c r="K48" s="1854"/>
      <c r="L48" s="1854"/>
      <c r="M48" s="1854"/>
      <c r="N48" s="1854">
        <v>986597.50000000012</v>
      </c>
      <c r="O48" s="1854">
        <v>0</v>
      </c>
      <c r="P48" s="1885"/>
      <c r="Q48" s="2089">
        <f t="shared" si="0"/>
        <v>-8879377.5</v>
      </c>
      <c r="R48" s="1852" t="s">
        <v>678</v>
      </c>
      <c r="S48" s="1888"/>
      <c r="T48" s="1889"/>
      <c r="U48" s="1890"/>
      <c r="V48" s="1884"/>
      <c r="W48" s="1834"/>
    </row>
    <row r="49" spans="1:24" ht="12">
      <c r="A49" s="1830" t="s">
        <v>1374</v>
      </c>
      <c r="B49" s="1848" t="s">
        <v>1350</v>
      </c>
      <c r="C49" s="1830" t="s">
        <v>1405</v>
      </c>
      <c r="D49" s="1830" t="s">
        <v>871</v>
      </c>
      <c r="E49" s="1830" t="s">
        <v>1401</v>
      </c>
      <c r="F49" s="1857"/>
      <c r="G49" s="1839"/>
      <c r="H49" s="1887"/>
      <c r="I49" s="1854">
        <v>9865975</v>
      </c>
      <c r="J49" s="1860"/>
      <c r="K49" s="1854"/>
      <c r="L49" s="1854"/>
      <c r="M49" s="1854">
        <v>-986597.50000000012</v>
      </c>
      <c r="N49" s="1854"/>
      <c r="O49" s="1854"/>
      <c r="P49" s="1858">
        <f>SUM(I49:O49)</f>
        <v>8879377.5</v>
      </c>
      <c r="Q49" s="1885"/>
      <c r="R49" s="1852" t="s">
        <v>678</v>
      </c>
      <c r="S49" s="1888"/>
      <c r="T49" s="1889"/>
      <c r="U49" s="1890"/>
      <c r="V49" s="1884"/>
      <c r="W49" s="1834"/>
    </row>
    <row r="50" spans="1:24">
      <c r="A50" s="1830" t="s">
        <v>1406</v>
      </c>
      <c r="B50" s="1839" t="s">
        <v>1352</v>
      </c>
      <c r="F50" s="1853"/>
      <c r="G50" s="1839"/>
      <c r="H50" s="1839"/>
      <c r="I50" s="1854"/>
      <c r="J50" s="1854"/>
      <c r="K50" s="1854"/>
      <c r="L50" s="1854"/>
      <c r="M50" s="1854"/>
      <c r="N50" s="1854"/>
      <c r="O50" s="1854"/>
      <c r="P50" s="1891"/>
      <c r="Q50" s="1880"/>
      <c r="R50" s="1863"/>
      <c r="S50" s="1882"/>
      <c r="T50" s="1882"/>
      <c r="U50" s="1834"/>
      <c r="V50" s="1834"/>
      <c r="W50" s="1834"/>
    </row>
    <row r="51" spans="1:24" ht="15.5">
      <c r="B51" s="1835"/>
      <c r="C51" s="1835"/>
      <c r="D51" s="1835"/>
      <c r="E51" s="1835"/>
      <c r="F51" s="1835"/>
      <c r="G51" s="1835"/>
      <c r="H51" s="1835"/>
      <c r="I51" s="1835"/>
      <c r="J51" s="1835"/>
      <c r="K51" s="1835"/>
      <c r="L51" s="1835"/>
      <c r="M51" s="1835"/>
      <c r="N51" s="1835"/>
      <c r="O51" s="1835"/>
      <c r="P51" s="1835"/>
      <c r="Q51" s="1835"/>
      <c r="R51" s="1835"/>
      <c r="S51" s="1882"/>
      <c r="T51" s="1882"/>
      <c r="U51" s="1834"/>
      <c r="V51" s="1834"/>
      <c r="W51" s="1834"/>
    </row>
    <row r="52" spans="1:24">
      <c r="B52" s="1846" t="s">
        <v>1353</v>
      </c>
      <c r="C52" s="1834"/>
      <c r="D52" s="1834"/>
      <c r="E52" s="1834"/>
      <c r="F52" s="1834"/>
      <c r="G52" s="1834"/>
      <c r="H52" s="1834"/>
      <c r="I52" s="1834"/>
      <c r="J52" s="1834"/>
      <c r="K52" s="1834"/>
      <c r="L52" s="1834"/>
      <c r="M52" s="1834"/>
      <c r="N52" s="1834"/>
      <c r="O52" s="1834"/>
      <c r="P52" s="1834"/>
      <c r="Q52" s="1834"/>
      <c r="R52" s="1834"/>
      <c r="S52" s="1834"/>
      <c r="T52" s="1834"/>
      <c r="U52" s="1834"/>
      <c r="V52" s="1834"/>
      <c r="W52" s="1834"/>
    </row>
    <row r="53" spans="1:24">
      <c r="A53" s="1830" t="s">
        <v>1375</v>
      </c>
      <c r="B53" s="1829">
        <v>182.3</v>
      </c>
      <c r="C53" s="1867" t="s">
        <v>1355</v>
      </c>
      <c r="D53" s="1851" t="s">
        <v>254</v>
      </c>
      <c r="E53" s="1830" t="s">
        <v>1315</v>
      </c>
      <c r="F53" s="1851"/>
      <c r="G53" s="1851" t="s">
        <v>254</v>
      </c>
      <c r="H53" s="1851"/>
      <c r="I53" s="1868">
        <v>0.36000000000058208</v>
      </c>
      <c r="J53" s="1851"/>
      <c r="K53" s="1854"/>
      <c r="L53" s="1854"/>
      <c r="M53" s="1854">
        <v>0</v>
      </c>
      <c r="N53" s="1851"/>
      <c r="O53" s="1851"/>
      <c r="P53" s="1862">
        <f>SUM(I53:O53)</f>
        <v>0.36000000000058208</v>
      </c>
      <c r="Q53" s="1869"/>
      <c r="R53" s="1852" t="s">
        <v>1356</v>
      </c>
      <c r="S53" s="1834"/>
      <c r="T53" s="1834"/>
      <c r="U53" s="1834"/>
      <c r="V53" s="1834"/>
      <c r="W53" s="1834"/>
    </row>
    <row r="54" spans="1:24">
      <c r="A54" s="1830" t="s">
        <v>1376</v>
      </c>
      <c r="B54" s="1829">
        <v>2540001</v>
      </c>
      <c r="C54" s="1867" t="s">
        <v>1358</v>
      </c>
      <c r="D54" s="1851" t="s">
        <v>254</v>
      </c>
      <c r="E54" s="1830" t="s">
        <v>1315</v>
      </c>
      <c r="F54" s="1851"/>
      <c r="G54" s="1851" t="s">
        <v>254</v>
      </c>
      <c r="H54" s="1851"/>
      <c r="I54" s="1868">
        <v>-77305896.570999503</v>
      </c>
      <c r="J54" s="1851"/>
      <c r="K54" s="1854"/>
      <c r="L54" s="1854"/>
      <c r="M54" s="1854">
        <v>1874832.1223276418</v>
      </c>
      <c r="N54" s="1851"/>
      <c r="O54" s="1851" t="s">
        <v>254</v>
      </c>
      <c r="P54" s="1862">
        <f>SUM(I54:O54)</f>
        <v>-75431064.448671862</v>
      </c>
      <c r="Q54" s="1869"/>
      <c r="R54" s="1852" t="s">
        <v>1356</v>
      </c>
      <c r="S54" s="1834"/>
      <c r="T54" s="1834"/>
      <c r="U54" s="1834"/>
      <c r="V54" s="1834"/>
      <c r="W54" s="1834"/>
    </row>
    <row r="55" spans="1:24">
      <c r="A55" s="1830" t="s">
        <v>1377</v>
      </c>
      <c r="B55" s="1829">
        <v>2540002</v>
      </c>
      <c r="C55" s="1867" t="s">
        <v>1358</v>
      </c>
      <c r="D55" s="1851"/>
      <c r="E55" s="1830" t="s">
        <v>1401</v>
      </c>
      <c r="F55" s="1851"/>
      <c r="G55" s="1851"/>
      <c r="H55" s="1851"/>
      <c r="I55" s="1868">
        <v>-10274916.643652111</v>
      </c>
      <c r="J55" s="1851"/>
      <c r="K55" s="1854"/>
      <c r="L55" s="1854"/>
      <c r="M55" s="1854">
        <v>1026837.0100000001</v>
      </c>
      <c r="N55" s="1851"/>
      <c r="O55" s="1851"/>
      <c r="P55" s="1862">
        <f>SUM(I55:O55)</f>
        <v>-9248079.6336521115</v>
      </c>
      <c r="Q55" s="1869"/>
      <c r="R55" s="1852" t="s">
        <v>1356</v>
      </c>
      <c r="S55" s="1834"/>
      <c r="T55" s="1834"/>
      <c r="U55" s="1834"/>
      <c r="V55" s="1834"/>
      <c r="W55" s="1834"/>
    </row>
    <row r="56" spans="1:24">
      <c r="A56" s="1830" t="s">
        <v>1378</v>
      </c>
      <c r="B56" s="1839" t="s">
        <v>1352</v>
      </c>
      <c r="C56" s="1867"/>
      <c r="D56" s="1851"/>
      <c r="F56" s="1851"/>
      <c r="G56" s="1851"/>
      <c r="H56" s="1851"/>
      <c r="I56" s="1854"/>
      <c r="J56" s="1851"/>
      <c r="K56" s="1854"/>
      <c r="L56" s="1854"/>
      <c r="M56" s="1854"/>
      <c r="N56" s="1851"/>
      <c r="O56" s="1851"/>
      <c r="P56" s="1869"/>
      <c r="Q56" s="1869"/>
      <c r="R56" s="1852"/>
      <c r="S56" s="1834"/>
      <c r="T56" s="1834"/>
      <c r="U56" s="1834"/>
      <c r="V56" s="1834"/>
      <c r="W56" s="1834"/>
    </row>
    <row r="57" spans="1:24">
      <c r="C57" s="1867"/>
      <c r="D57" s="1838"/>
      <c r="E57" s="1838"/>
      <c r="F57" s="1838"/>
      <c r="G57" s="1838"/>
      <c r="H57" s="1838"/>
      <c r="I57" s="1838"/>
      <c r="J57" s="1838"/>
      <c r="K57" s="1838"/>
      <c r="L57" s="1838"/>
      <c r="M57" s="1838"/>
      <c r="N57" s="1838"/>
      <c r="O57" s="1838"/>
      <c r="P57" s="1838"/>
      <c r="Q57" s="1838"/>
      <c r="R57" s="1870"/>
      <c r="S57" s="1834"/>
      <c r="T57" s="1834"/>
      <c r="U57" s="1834"/>
      <c r="V57" s="1834"/>
      <c r="W57" s="1834"/>
    </row>
    <row r="58" spans="1:24" ht="12" thickBot="1">
      <c r="A58" s="1871">
        <v>6</v>
      </c>
      <c r="B58" s="2315" t="str">
        <f>"Total For Accounting Entries (Sum of Lines "&amp;A39&amp;" through "&amp;A56&amp;")"</f>
        <v>Total For Accounting Entries (Sum of Lines 4a through 5d)</v>
      </c>
      <c r="C58" s="2315"/>
      <c r="D58" s="1851"/>
      <c r="E58" s="1851"/>
      <c r="F58" s="1872">
        <f>SUM(F39:F57)</f>
        <v>-84610758</v>
      </c>
      <c r="G58" s="1851"/>
      <c r="H58" s="1851"/>
      <c r="I58" s="1872">
        <f>SUM(I39:I57)</f>
        <v>-0.99999998509883881</v>
      </c>
      <c r="J58" s="1872">
        <f>SUM(J39:J57)</f>
        <v>-66435127.216199994</v>
      </c>
      <c r="K58" s="1873">
        <f>SUM(K39:K57)</f>
        <v>0</v>
      </c>
      <c r="L58" s="1873">
        <f>SUM(L39:L57)</f>
        <v>0</v>
      </c>
      <c r="M58" s="1872">
        <f>SUM(M39:M57)</f>
        <v>0</v>
      </c>
      <c r="N58" s="1874">
        <f>-SUM(N39:N57)</f>
        <v>-2205633</v>
      </c>
      <c r="O58" s="1872">
        <f>-SUM(O39:O57)</f>
        <v>0</v>
      </c>
      <c r="P58" s="1873">
        <f>SUM(P39:P57)</f>
        <v>-0.99999999068677425</v>
      </c>
      <c r="Q58" s="1872">
        <f>SUM(Q39:Q57)</f>
        <v>-64229494.216199994</v>
      </c>
      <c r="R58" s="1875"/>
      <c r="S58" s="1834"/>
      <c r="T58" s="1834"/>
      <c r="U58" s="1834"/>
      <c r="V58" s="1834"/>
      <c r="W58" s="1834"/>
    </row>
    <row r="59" spans="1:24" ht="16" thickTop="1">
      <c r="A59" s="1871"/>
      <c r="B59" s="1892"/>
      <c r="C59" s="1892"/>
      <c r="D59" s="1835"/>
      <c r="E59" s="1835"/>
      <c r="F59" s="1835"/>
      <c r="G59" s="1835"/>
      <c r="H59" s="1835"/>
      <c r="I59" s="1835"/>
      <c r="J59" s="1879"/>
      <c r="K59" s="1877"/>
      <c r="L59" s="1877"/>
      <c r="M59" s="1879"/>
      <c r="N59" s="1878" t="s">
        <v>1504</v>
      </c>
      <c r="O59" s="1879"/>
      <c r="P59" s="1877"/>
      <c r="Q59" s="1879"/>
      <c r="R59" s="1875"/>
      <c r="S59" s="1834"/>
      <c r="T59" s="1834"/>
      <c r="U59" s="1834"/>
      <c r="V59" s="1834"/>
      <c r="W59" s="1834"/>
    </row>
    <row r="60" spans="1:24" ht="12.5">
      <c r="A60"/>
      <c r="B60"/>
      <c r="C60"/>
      <c r="D60"/>
      <c r="E60"/>
      <c r="F60"/>
      <c r="G60"/>
      <c r="H60"/>
      <c r="I60"/>
      <c r="J60" s="1857"/>
      <c r="K60" s="1877"/>
      <c r="L60" s="1877"/>
      <c r="M60" s="1877"/>
      <c r="O60" s="1857"/>
      <c r="P60" s="1877"/>
      <c r="Q60" s="1879"/>
      <c r="R60" s="1875"/>
      <c r="S60" s="1834"/>
      <c r="T60" s="1834"/>
      <c r="U60" s="1834"/>
      <c r="V60" s="1834"/>
      <c r="W60" s="1834"/>
    </row>
    <row r="61" spans="1:24">
      <c r="A61" s="1828" t="s">
        <v>1380</v>
      </c>
      <c r="B61" s="1894"/>
      <c r="C61" s="1895"/>
      <c r="D61" s="1838"/>
      <c r="E61" s="1838"/>
      <c r="F61" s="1838"/>
      <c r="G61" s="1838"/>
      <c r="H61" s="1838"/>
      <c r="I61" s="1876"/>
      <c r="J61" s="1857"/>
      <c r="K61" s="1877"/>
      <c r="L61" s="1877"/>
      <c r="M61" s="1877"/>
      <c r="N61" s="1857"/>
      <c r="O61" s="1857"/>
      <c r="P61" s="1877"/>
      <c r="Q61" s="1879"/>
      <c r="R61" s="1875"/>
      <c r="S61" s="1834"/>
      <c r="T61" s="1834"/>
      <c r="U61" s="1834"/>
      <c r="V61" s="1834"/>
      <c r="W61" s="1834"/>
    </row>
    <row r="62" spans="1:24" ht="12.65" customHeight="1">
      <c r="A62" s="1828"/>
      <c r="B62" s="2310" t="s">
        <v>1381</v>
      </c>
      <c r="C62" s="2310"/>
      <c r="D62" s="2310"/>
      <c r="E62" s="2310"/>
      <c r="F62" s="2310"/>
      <c r="G62" s="2310"/>
      <c r="H62" s="2310"/>
      <c r="I62" s="2310"/>
      <c r="J62" s="2310"/>
      <c r="K62" s="2310"/>
      <c r="L62" s="1877"/>
      <c r="M62" s="1877"/>
      <c r="N62" s="1857"/>
      <c r="O62" s="1838"/>
      <c r="P62" s="1838"/>
      <c r="Q62" s="1838"/>
      <c r="R62" s="1838"/>
      <c r="S62" s="1838"/>
      <c r="T62" s="1838"/>
      <c r="U62" s="1838"/>
      <c r="V62" s="1838"/>
      <c r="W62" s="1838"/>
      <c r="X62" s="1838"/>
    </row>
    <row r="63" spans="1:24" ht="12.65" customHeight="1">
      <c r="A63" s="1828"/>
      <c r="B63" s="2310"/>
      <c r="C63" s="2310"/>
      <c r="D63" s="2310"/>
      <c r="E63" s="2310"/>
      <c r="F63" s="2310"/>
      <c r="G63" s="2310"/>
      <c r="H63" s="2310"/>
      <c r="I63" s="2310"/>
      <c r="J63" s="2310"/>
      <c r="K63" s="2310"/>
      <c r="L63" s="1877"/>
      <c r="M63" s="1877"/>
      <c r="N63" s="1857"/>
      <c r="O63" s="1838"/>
      <c r="P63" s="1838"/>
      <c r="Q63" s="1838"/>
      <c r="R63" s="1838"/>
      <c r="S63" s="1838"/>
      <c r="T63" s="1838"/>
      <c r="U63" s="1838"/>
      <c r="V63" s="1838"/>
      <c r="W63" s="1838"/>
      <c r="X63" s="1838"/>
    </row>
    <row r="64" spans="1:24" ht="11.5" customHeight="1">
      <c r="A64" s="1828"/>
      <c r="B64" s="2310"/>
      <c r="C64" s="2310"/>
      <c r="D64" s="2310"/>
      <c r="E64" s="2310"/>
      <c r="F64" s="2310"/>
      <c r="G64" s="2310"/>
      <c r="H64" s="2310"/>
      <c r="I64" s="2310"/>
      <c r="J64" s="2310"/>
      <c r="K64" s="2310"/>
      <c r="L64" s="1877"/>
      <c r="M64" s="1877"/>
      <c r="N64" s="1857"/>
      <c r="O64" s="1838"/>
      <c r="P64" s="1838"/>
      <c r="Q64" s="1838"/>
      <c r="R64" s="1838"/>
      <c r="S64" s="1838"/>
      <c r="T64" s="1838"/>
      <c r="U64" s="1838"/>
      <c r="V64" s="1838"/>
      <c r="W64" s="1838"/>
      <c r="X64" s="1838"/>
    </row>
    <row r="65" spans="1:24" ht="12.65" customHeight="1">
      <c r="A65" s="1828"/>
      <c r="B65" s="2310"/>
      <c r="C65" s="2310"/>
      <c r="D65" s="2310"/>
      <c r="E65" s="2310"/>
      <c r="F65" s="2310"/>
      <c r="G65" s="2310"/>
      <c r="H65" s="2310"/>
      <c r="I65" s="2310"/>
      <c r="J65" s="2310"/>
      <c r="K65" s="2310"/>
      <c r="L65" s="1877"/>
      <c r="M65" s="1877"/>
      <c r="N65" s="1857"/>
      <c r="O65" s="1838"/>
      <c r="P65" s="1838"/>
      <c r="Q65" s="1838"/>
      <c r="R65" s="1838"/>
      <c r="S65" s="1838"/>
      <c r="T65" s="1838"/>
      <c r="U65" s="1838"/>
      <c r="V65" s="1838"/>
      <c r="W65" s="1838"/>
      <c r="X65" s="1838"/>
    </row>
    <row r="66" spans="1:24">
      <c r="A66" s="1828"/>
      <c r="B66" s="1828"/>
      <c r="C66" s="1895"/>
      <c r="D66" s="1838"/>
      <c r="E66" s="1838"/>
      <c r="F66" s="1838"/>
      <c r="G66" s="1838"/>
      <c r="H66" s="1838"/>
      <c r="I66" s="1876"/>
      <c r="J66" s="1879"/>
      <c r="K66" s="1877"/>
      <c r="L66" s="1877"/>
      <c r="M66" s="1877"/>
      <c r="N66" s="1879"/>
      <c r="Q66" s="1838"/>
      <c r="R66" s="1838"/>
      <c r="S66" s="1838"/>
      <c r="T66" s="1838"/>
      <c r="U66" s="1838"/>
      <c r="V66" s="1876"/>
      <c r="W66" s="1879"/>
      <c r="X66" s="1877"/>
    </row>
    <row r="67" spans="1:24" ht="15" customHeight="1">
      <c r="A67" s="1896" t="s">
        <v>1382</v>
      </c>
      <c r="B67" s="2318" t="s">
        <v>1383</v>
      </c>
      <c r="C67" s="2318"/>
      <c r="D67" s="2318"/>
      <c r="E67" s="2318"/>
      <c r="F67" s="2318"/>
      <c r="G67" s="2318"/>
      <c r="H67" s="2318"/>
      <c r="I67" s="2318"/>
      <c r="J67" s="2318"/>
      <c r="K67" s="1897"/>
      <c r="N67" s="1857"/>
      <c r="O67" s="1898"/>
      <c r="P67" s="1898"/>
      <c r="Q67" s="1898"/>
      <c r="R67" s="1898"/>
      <c r="S67" s="1898"/>
      <c r="T67" s="1898"/>
      <c r="U67" s="1898"/>
      <c r="V67" s="1898"/>
      <c r="W67" s="1898"/>
      <c r="X67" s="1898"/>
    </row>
    <row r="68" spans="1:24">
      <c r="A68" s="1828"/>
      <c r="B68" s="2318"/>
      <c r="C68" s="2318"/>
      <c r="D68" s="2318"/>
      <c r="E68" s="2318"/>
      <c r="F68" s="2318"/>
      <c r="G68" s="2318"/>
      <c r="H68" s="2318"/>
      <c r="I68" s="2318"/>
      <c r="J68" s="2318"/>
      <c r="K68" s="1897"/>
      <c r="O68" s="1898"/>
      <c r="P68" s="1898"/>
      <c r="Q68" s="1898"/>
      <c r="R68" s="1898"/>
      <c r="S68" s="1898"/>
      <c r="T68" s="1898"/>
      <c r="U68" s="1898"/>
      <c r="V68" s="1898"/>
      <c r="W68" s="1898"/>
      <c r="X68" s="1898"/>
    </row>
    <row r="69" spans="1:24">
      <c r="A69" s="1828"/>
      <c r="B69" s="2318"/>
      <c r="C69" s="2318"/>
      <c r="D69" s="2318"/>
      <c r="E69" s="2318"/>
      <c r="F69" s="2318"/>
      <c r="G69" s="2318"/>
      <c r="H69" s="2318"/>
      <c r="I69" s="2318"/>
      <c r="J69" s="2318"/>
      <c r="K69" s="1897"/>
      <c r="O69" s="1898"/>
      <c r="P69" s="1898"/>
      <c r="Q69" s="1898"/>
      <c r="R69" s="1898"/>
      <c r="S69" s="1898"/>
      <c r="T69" s="1898"/>
      <c r="U69" s="1898"/>
      <c r="V69" s="1898"/>
      <c r="W69" s="1898"/>
      <c r="X69" s="1898"/>
    </row>
    <row r="70" spans="1:24">
      <c r="A70" s="1828"/>
      <c r="B70" s="2318"/>
      <c r="C70" s="2318"/>
      <c r="D70" s="2318"/>
      <c r="E70" s="2318"/>
      <c r="F70" s="2318"/>
      <c r="G70" s="2318"/>
      <c r="H70" s="2318"/>
      <c r="I70" s="2318"/>
      <c r="J70" s="2318"/>
      <c r="K70" s="1897"/>
      <c r="O70" s="1898"/>
      <c r="P70" s="1898"/>
      <c r="Q70" s="1898"/>
      <c r="R70" s="1898"/>
      <c r="S70" s="1898"/>
      <c r="T70" s="1898"/>
      <c r="U70" s="1898"/>
      <c r="V70" s="1898"/>
      <c r="W70" s="1898"/>
      <c r="X70" s="1898"/>
    </row>
    <row r="71" spans="1:24">
      <c r="A71" s="1828"/>
      <c r="B71" s="2318"/>
      <c r="C71" s="2318"/>
      <c r="D71" s="2318"/>
      <c r="E71" s="2318"/>
      <c r="F71" s="2318"/>
      <c r="G71" s="2318"/>
      <c r="H71" s="2318"/>
      <c r="I71" s="2318"/>
      <c r="J71" s="2318"/>
      <c r="K71" s="1897"/>
      <c r="O71" s="1898"/>
      <c r="P71" s="1898"/>
      <c r="Q71" s="1898"/>
      <c r="R71" s="1898"/>
      <c r="S71" s="1898"/>
      <c r="T71" s="1898"/>
      <c r="U71" s="1898"/>
      <c r="V71" s="1898"/>
      <c r="W71" s="1898"/>
      <c r="X71" s="1898"/>
    </row>
    <row r="72" spans="1:24">
      <c r="A72" s="1828"/>
      <c r="B72" s="2318"/>
      <c r="C72" s="2318"/>
      <c r="D72" s="2318"/>
      <c r="E72" s="2318"/>
      <c r="F72" s="2318"/>
      <c r="G72" s="2318"/>
      <c r="H72" s="2318"/>
      <c r="I72" s="2318"/>
      <c r="J72" s="2318"/>
      <c r="K72" s="1897"/>
      <c r="O72" s="1898"/>
      <c r="P72" s="1898"/>
      <c r="Q72" s="1898"/>
      <c r="R72" s="1898"/>
      <c r="S72" s="1898"/>
      <c r="T72" s="1898"/>
      <c r="U72" s="1898"/>
      <c r="V72" s="1898"/>
      <c r="W72" s="1898"/>
      <c r="X72" s="1898"/>
    </row>
    <row r="73" spans="1:24" ht="5.15" customHeight="1">
      <c r="A73" s="1828"/>
      <c r="B73" s="1897"/>
      <c r="C73" s="1897"/>
      <c r="D73" s="1897"/>
      <c r="E73" s="1897"/>
      <c r="F73" s="1897"/>
      <c r="G73" s="1897"/>
      <c r="H73" s="1897"/>
      <c r="I73" s="1897"/>
      <c r="J73" s="1897"/>
      <c r="K73" s="1897"/>
      <c r="O73" s="1898"/>
      <c r="P73" s="1898"/>
      <c r="Q73" s="1898"/>
      <c r="R73" s="1898"/>
      <c r="S73" s="1898"/>
      <c r="T73" s="1898"/>
      <c r="U73" s="1898"/>
      <c r="V73" s="1898"/>
      <c r="W73" s="1898"/>
      <c r="X73" s="1898"/>
    </row>
    <row r="74" spans="1:24" ht="12.65" customHeight="1">
      <c r="A74" s="1828" t="s">
        <v>1384</v>
      </c>
      <c r="B74" s="1899" t="s">
        <v>1385</v>
      </c>
      <c r="C74" s="1899"/>
      <c r="D74" s="1899"/>
      <c r="E74" s="1899"/>
      <c r="F74" s="1899"/>
      <c r="G74" s="1899"/>
      <c r="H74" s="1899"/>
      <c r="I74" s="1899"/>
      <c r="J74" s="1899"/>
      <c r="K74" s="1897"/>
      <c r="N74" s="1857"/>
      <c r="O74" s="1898"/>
      <c r="P74" s="1898"/>
      <c r="Q74" s="1898"/>
      <c r="R74" s="1898"/>
      <c r="S74" s="1898"/>
      <c r="T74" s="1898"/>
      <c r="U74" s="1898"/>
      <c r="V74" s="1898"/>
      <c r="W74" s="1898"/>
      <c r="X74" s="1898"/>
    </row>
    <row r="75" spans="1:24" ht="5.15" customHeight="1">
      <c r="A75" s="1828"/>
      <c r="B75" s="1899"/>
      <c r="C75" s="1899"/>
      <c r="D75" s="1899"/>
      <c r="E75" s="1899"/>
      <c r="F75" s="1899"/>
      <c r="G75" s="1899"/>
      <c r="H75" s="1899"/>
      <c r="I75" s="1899"/>
      <c r="J75" s="1899"/>
      <c r="K75" s="1897"/>
      <c r="O75" s="1898"/>
      <c r="P75" s="1898"/>
      <c r="Q75" s="1898"/>
      <c r="R75" s="1898"/>
      <c r="S75" s="1898"/>
      <c r="T75" s="1898"/>
      <c r="U75" s="1898"/>
      <c r="V75" s="1898"/>
      <c r="W75" s="1898"/>
      <c r="X75" s="1898"/>
    </row>
    <row r="76" spans="1:24" ht="12.65" customHeight="1">
      <c r="A76" s="1828" t="s">
        <v>1386</v>
      </c>
      <c r="B76" s="2318" t="s">
        <v>1387</v>
      </c>
      <c r="C76" s="2318"/>
      <c r="D76" s="2318"/>
      <c r="E76" s="2318"/>
      <c r="F76" s="2318"/>
      <c r="G76" s="2318"/>
      <c r="H76" s="2318"/>
      <c r="I76" s="2318"/>
      <c r="J76" s="2318"/>
      <c r="K76" s="1897"/>
      <c r="N76" s="1857"/>
      <c r="O76" s="1898"/>
      <c r="P76" s="1898"/>
      <c r="Q76" s="1898"/>
      <c r="R76" s="1898"/>
      <c r="S76" s="1898"/>
      <c r="T76" s="1898"/>
      <c r="U76" s="1898"/>
      <c r="V76" s="1898"/>
      <c r="W76" s="1898"/>
      <c r="X76" s="1898"/>
    </row>
    <row r="77" spans="1:24" ht="15" customHeight="1">
      <c r="A77" s="1828"/>
      <c r="B77" s="2318"/>
      <c r="C77" s="2318"/>
      <c r="D77" s="2318"/>
      <c r="E77" s="2318"/>
      <c r="F77" s="2318"/>
      <c r="G77" s="2318"/>
      <c r="H77" s="2318"/>
      <c r="I77" s="2318"/>
      <c r="J77" s="2318"/>
      <c r="K77" s="1897"/>
      <c r="O77" s="1898"/>
      <c r="P77" s="1898"/>
      <c r="Q77" s="1898"/>
      <c r="R77" s="1898"/>
      <c r="S77" s="1898"/>
      <c r="T77" s="1898"/>
      <c r="U77" s="1898"/>
      <c r="V77" s="1898"/>
      <c r="W77" s="1898"/>
      <c r="X77" s="1898"/>
    </row>
    <row r="78" spans="1:24" ht="12.65" customHeight="1">
      <c r="A78" s="1828"/>
      <c r="B78" s="1897"/>
      <c r="C78" s="1897"/>
      <c r="D78" s="1897"/>
      <c r="E78" s="1897"/>
      <c r="F78" s="1897"/>
      <c r="G78" s="1897"/>
      <c r="H78" s="1897"/>
      <c r="I78" s="1897"/>
      <c r="J78" s="1897"/>
      <c r="K78" s="1897"/>
      <c r="N78" s="1857"/>
      <c r="O78" s="1898"/>
      <c r="P78" s="1898"/>
      <c r="Q78" s="1898"/>
      <c r="R78" s="1898"/>
      <c r="S78" s="1898"/>
      <c r="T78" s="1898"/>
      <c r="U78" s="1898"/>
      <c r="V78" s="1898"/>
      <c r="W78" s="1898"/>
      <c r="X78" s="1898"/>
    </row>
    <row r="79" spans="1:24" ht="12.65" customHeight="1">
      <c r="A79" s="1828" t="s">
        <v>1388</v>
      </c>
      <c r="B79" s="2318" t="s">
        <v>1389</v>
      </c>
      <c r="C79" s="2318"/>
      <c r="D79" s="2318"/>
      <c r="E79" s="2318"/>
      <c r="F79" s="2318"/>
      <c r="G79" s="2318"/>
      <c r="H79" s="2318"/>
      <c r="I79" s="2318"/>
      <c r="J79" s="2318"/>
      <c r="K79" s="1897"/>
      <c r="O79" s="1898"/>
      <c r="P79" s="1898"/>
      <c r="Q79" s="1898"/>
      <c r="R79" s="1898"/>
      <c r="S79" s="1898"/>
      <c r="T79" s="1898"/>
      <c r="U79" s="1898"/>
      <c r="V79" s="1898"/>
      <c r="W79" s="1898"/>
      <c r="X79" s="1898"/>
    </row>
    <row r="80" spans="1:24" ht="15.75" customHeight="1">
      <c r="A80" s="1828"/>
      <c r="B80" s="2318"/>
      <c r="C80" s="2318"/>
      <c r="D80" s="2318"/>
      <c r="E80" s="2318"/>
      <c r="F80" s="2318"/>
      <c r="G80" s="2318"/>
      <c r="H80" s="2318"/>
      <c r="I80" s="2318"/>
      <c r="J80" s="2318"/>
      <c r="K80" s="1897"/>
      <c r="O80" s="1898"/>
      <c r="P80" s="1898"/>
      <c r="Q80" s="1898"/>
      <c r="R80" s="1898"/>
      <c r="S80" s="1898"/>
      <c r="T80" s="1898"/>
      <c r="U80" s="1898"/>
      <c r="V80" s="1898"/>
      <c r="W80" s="1898"/>
      <c r="X80" s="1898"/>
    </row>
    <row r="81" spans="1:24" ht="11.5" customHeight="1">
      <c r="A81" s="1828"/>
      <c r="B81" s="1897"/>
      <c r="C81" s="1897"/>
      <c r="D81" s="1897"/>
      <c r="E81" s="1897"/>
      <c r="F81" s="1897"/>
      <c r="G81" s="1897"/>
      <c r="H81" s="1897"/>
      <c r="I81" s="1897"/>
      <c r="J81" s="1897"/>
      <c r="K81" s="1897"/>
      <c r="N81" s="1857"/>
      <c r="X81" s="1898"/>
    </row>
    <row r="82" spans="1:24" ht="21" customHeight="1">
      <c r="A82" s="1900" t="s">
        <v>1390</v>
      </c>
      <c r="B82" s="2319" t="s">
        <v>1391</v>
      </c>
      <c r="C82" s="2319"/>
      <c r="D82" s="2319"/>
      <c r="E82" s="2319"/>
      <c r="F82" s="2319"/>
      <c r="G82" s="2319"/>
      <c r="H82" s="2319"/>
      <c r="I82" s="2319"/>
      <c r="J82" s="2319"/>
      <c r="K82" s="1897"/>
      <c r="X82" s="1898"/>
    </row>
    <row r="83" spans="1:24" ht="5.15" customHeight="1">
      <c r="A83" s="1828"/>
      <c r="B83" s="2319"/>
      <c r="C83" s="2319"/>
      <c r="D83" s="2319"/>
      <c r="E83" s="2319"/>
      <c r="F83" s="2319"/>
      <c r="G83" s="2319"/>
      <c r="H83" s="2319"/>
      <c r="I83" s="2319"/>
      <c r="J83" s="2319"/>
      <c r="K83" s="1897"/>
      <c r="O83" s="1871"/>
      <c r="P83" s="1898"/>
      <c r="Q83" s="1898"/>
      <c r="R83" s="1898"/>
      <c r="S83" s="1898"/>
      <c r="T83" s="1898"/>
      <c r="U83" s="1898"/>
      <c r="V83" s="1898"/>
      <c r="W83" s="1898"/>
      <c r="X83" s="1898"/>
    </row>
    <row r="84" spans="1:24" ht="11.5" customHeight="1">
      <c r="A84" s="1828"/>
      <c r="B84" s="1900"/>
      <c r="C84" s="1897"/>
      <c r="D84" s="1897"/>
      <c r="E84" s="1897"/>
      <c r="F84" s="1897"/>
      <c r="G84" s="1897"/>
      <c r="H84" s="1897"/>
      <c r="I84" s="1897"/>
      <c r="J84" s="1897"/>
      <c r="K84" s="1897"/>
      <c r="N84" s="1857"/>
      <c r="O84" s="1898"/>
      <c r="P84" s="1898"/>
      <c r="Q84" s="1898"/>
      <c r="R84" s="1898"/>
      <c r="S84" s="1898"/>
      <c r="T84" s="1898"/>
      <c r="U84" s="1898"/>
      <c r="V84" s="1898"/>
      <c r="W84" s="1898"/>
    </row>
    <row r="85" spans="1:24" ht="11.5" customHeight="1">
      <c r="A85" s="1900" t="s">
        <v>1392</v>
      </c>
      <c r="B85" s="2318" t="str">
        <f>"The amount of excess amortization entries shown in lines "&amp;A13&amp;" through "&amp;A26&amp;"  and "&amp;A39&amp;" through "&amp;A50&amp;" are shown as a debit or credit to the ADIT account from which it is being amortized.  The totals in line "&amp;A34&amp;" and "&amp;A58&amp;" is the offset recorded to the 410/411 account."</f>
        <v>The amount of excess amortization entries shown in lines 1a through 1n  and 4a through 4l are shown as a debit or credit to the ADIT account from which it is being amortized.  The totals in line 3 and 6 is the offset recorded to the 410/411 account.</v>
      </c>
      <c r="C85" s="2318"/>
      <c r="D85" s="2318"/>
      <c r="E85" s="2318"/>
      <c r="F85" s="2318"/>
      <c r="G85" s="2318"/>
      <c r="H85" s="2318"/>
      <c r="I85" s="2318"/>
      <c r="J85" s="1897"/>
      <c r="K85" s="1828"/>
      <c r="O85" s="1898"/>
      <c r="P85" s="1898"/>
      <c r="Q85" s="1898"/>
      <c r="R85" s="1898"/>
      <c r="S85" s="1898"/>
      <c r="T85" s="1898"/>
      <c r="U85" s="1898"/>
      <c r="V85" s="1898"/>
      <c r="W85" s="1898"/>
    </row>
    <row r="86" spans="1:24" ht="5.15" customHeight="1">
      <c r="A86" s="1828"/>
      <c r="B86" s="2318"/>
      <c r="C86" s="2318"/>
      <c r="D86" s="2318"/>
      <c r="E86" s="2318"/>
      <c r="F86" s="2318"/>
      <c r="G86" s="2318"/>
      <c r="H86" s="2318"/>
      <c r="I86" s="2318"/>
      <c r="J86" s="1897"/>
      <c r="K86" s="1828"/>
      <c r="O86" s="1898"/>
      <c r="P86" s="1898"/>
      <c r="Q86" s="1898"/>
      <c r="R86" s="1898"/>
      <c r="S86" s="1898"/>
      <c r="T86" s="1898"/>
      <c r="U86" s="1898"/>
      <c r="V86" s="1898"/>
    </row>
    <row r="87" spans="1:24" ht="11.5" customHeight="1">
      <c r="A87" s="1828"/>
      <c r="B87" s="2318"/>
      <c r="C87" s="2318"/>
      <c r="D87" s="2318"/>
      <c r="E87" s="2318"/>
      <c r="F87" s="2318"/>
      <c r="G87" s="2318"/>
      <c r="H87" s="2318"/>
      <c r="I87" s="2318"/>
      <c r="J87" s="1828"/>
      <c r="K87" s="1828"/>
      <c r="N87" s="1857"/>
    </row>
    <row r="88" spans="1:24" ht="12" customHeight="1">
      <c r="A88" s="1828" t="s">
        <v>1393</v>
      </c>
      <c r="B88" s="2319" t="s">
        <v>1503</v>
      </c>
      <c r="C88" s="2319"/>
      <c r="D88" s="2319"/>
      <c r="E88" s="2319"/>
      <c r="F88" s="2319"/>
      <c r="G88" s="2319"/>
      <c r="H88" s="2319"/>
      <c r="I88" s="2319"/>
      <c r="J88" s="1828"/>
      <c r="K88" s="1828"/>
    </row>
    <row r="89" spans="1:24">
      <c r="A89" s="1828"/>
      <c r="B89" s="2319"/>
      <c r="C89" s="2319"/>
      <c r="D89" s="2319"/>
      <c r="E89" s="2319"/>
      <c r="F89" s="2319"/>
      <c r="G89" s="2319"/>
      <c r="H89" s="2319"/>
      <c r="I89" s="2319"/>
      <c r="J89" s="1828"/>
      <c r="K89" s="1828"/>
    </row>
    <row r="90" spans="1:24">
      <c r="A90" s="1828"/>
      <c r="B90" s="1894"/>
      <c r="C90" s="1828"/>
      <c r="D90" s="1828"/>
      <c r="E90" s="1828"/>
      <c r="F90" s="1828"/>
      <c r="G90" s="1828"/>
      <c r="H90" s="1828"/>
      <c r="I90" s="1828"/>
      <c r="J90" s="1828"/>
      <c r="K90" s="1828"/>
    </row>
    <row r="91" spans="1:24">
      <c r="A91" s="1828" t="s">
        <v>1394</v>
      </c>
      <c r="B91" s="1901" t="s">
        <v>1395</v>
      </c>
      <c r="C91" s="1828"/>
      <c r="D91" s="1828"/>
      <c r="E91" s="1828"/>
      <c r="F91" s="1828"/>
      <c r="G91" s="1828"/>
      <c r="H91" s="1828"/>
      <c r="I91" s="1828"/>
      <c r="J91" s="1828"/>
      <c r="K91" s="1828"/>
    </row>
    <row r="92" spans="1:24">
      <c r="A92" s="1828"/>
      <c r="B92" s="1894"/>
      <c r="C92" s="1828"/>
      <c r="D92" s="1828"/>
      <c r="E92" s="1828"/>
      <c r="F92" s="1828"/>
      <c r="G92" s="1828"/>
      <c r="H92" s="1828"/>
      <c r="I92" s="1828"/>
      <c r="J92" s="1828"/>
      <c r="K92" s="1828"/>
    </row>
    <row r="93" spans="1:24">
      <c r="A93" s="1828" t="s">
        <v>1396</v>
      </c>
      <c r="B93" s="2316" t="s">
        <v>1397</v>
      </c>
      <c r="C93" s="2316"/>
      <c r="D93" s="2316"/>
      <c r="E93" s="2316"/>
      <c r="F93" s="2316"/>
      <c r="G93" s="2316"/>
      <c r="H93" s="2316"/>
      <c r="I93" s="2316"/>
      <c r="J93" s="2316"/>
      <c r="K93" s="1828"/>
    </row>
    <row r="94" spans="1:24">
      <c r="A94" s="1896"/>
      <c r="B94" s="2316"/>
      <c r="C94" s="2316"/>
      <c r="D94" s="2316"/>
      <c r="E94" s="2316"/>
      <c r="F94" s="2316"/>
      <c r="G94" s="2316"/>
      <c r="H94" s="2316"/>
      <c r="I94" s="2316"/>
      <c r="J94" s="2316"/>
      <c r="K94" s="1896"/>
    </row>
    <row r="95" spans="1:24">
      <c r="A95" s="1896"/>
      <c r="B95" s="1896"/>
      <c r="C95" s="1896"/>
      <c r="D95" s="1896"/>
      <c r="E95" s="1896"/>
      <c r="F95" s="1896"/>
      <c r="G95" s="1896"/>
      <c r="H95" s="1896"/>
      <c r="I95" s="1896"/>
      <c r="J95" s="1896"/>
      <c r="K95" s="1896"/>
    </row>
    <row r="96" spans="1:24">
      <c r="A96" s="1828" t="s">
        <v>1398</v>
      </c>
      <c r="B96" s="2317" t="s">
        <v>1502</v>
      </c>
      <c r="C96" s="2317"/>
      <c r="D96" s="2317"/>
      <c r="E96" s="2317"/>
      <c r="F96" s="2317"/>
      <c r="G96" s="2317"/>
      <c r="H96" s="2317"/>
      <c r="I96" s="2317"/>
      <c r="J96" s="2317"/>
      <c r="K96" s="1896"/>
    </row>
    <row r="97" spans="1:11">
      <c r="A97" s="1896"/>
      <c r="B97" s="2317"/>
      <c r="C97" s="2317"/>
      <c r="D97" s="2317"/>
      <c r="E97" s="2317"/>
      <c r="F97" s="2317"/>
      <c r="G97" s="2317"/>
      <c r="H97" s="2317"/>
      <c r="I97" s="2317"/>
      <c r="J97" s="2317"/>
      <c r="K97" s="1896"/>
    </row>
    <row r="98" spans="1:11">
      <c r="A98" s="1896"/>
      <c r="B98" s="2317"/>
      <c r="C98" s="2317"/>
      <c r="D98" s="2317"/>
      <c r="E98" s="2317"/>
      <c r="F98" s="2317"/>
      <c r="G98" s="2317"/>
      <c r="H98" s="2317"/>
      <c r="I98" s="2317"/>
      <c r="J98" s="2317"/>
      <c r="K98" s="1896"/>
    </row>
    <row r="99" spans="1:11">
      <c r="A99" s="1896"/>
      <c r="B99" s="2317"/>
      <c r="C99" s="2317"/>
      <c r="D99" s="2317"/>
      <c r="E99" s="2317"/>
      <c r="F99" s="2317"/>
      <c r="G99" s="2317"/>
      <c r="H99" s="2317"/>
      <c r="I99" s="2317"/>
      <c r="J99" s="2317"/>
      <c r="K99" s="1896"/>
    </row>
    <row r="100" spans="1:11">
      <c r="A100" s="1896"/>
      <c r="B100" s="2317"/>
      <c r="C100" s="2317"/>
      <c r="D100" s="2317"/>
      <c r="E100" s="2317"/>
      <c r="F100" s="2317"/>
      <c r="G100" s="2317"/>
      <c r="H100" s="2317"/>
      <c r="I100" s="2317"/>
      <c r="J100" s="2317"/>
      <c r="K100" s="1896"/>
    </row>
    <row r="101" spans="1:11">
      <c r="A101" s="1896"/>
      <c r="B101" s="2317"/>
      <c r="C101" s="2317"/>
      <c r="D101" s="2317"/>
      <c r="E101" s="2317"/>
      <c r="F101" s="2317"/>
      <c r="G101" s="2317"/>
      <c r="H101" s="2317"/>
      <c r="I101" s="2317"/>
      <c r="J101" s="2317"/>
      <c r="K101" s="1896"/>
    </row>
    <row r="102" spans="1:11">
      <c r="A102" s="1896"/>
      <c r="B102" s="2317"/>
      <c r="C102" s="2317"/>
      <c r="D102" s="2317"/>
      <c r="E102" s="2317"/>
      <c r="F102" s="2317"/>
      <c r="G102" s="2317"/>
      <c r="H102" s="2317"/>
      <c r="I102" s="2317"/>
      <c r="J102" s="2317"/>
      <c r="K102" s="1896"/>
    </row>
    <row r="103" spans="1:11">
      <c r="A103" s="1902"/>
      <c r="B103" s="1902"/>
      <c r="C103" s="1902"/>
      <c r="D103" s="1902"/>
      <c r="E103" s="1902"/>
      <c r="F103" s="1902"/>
      <c r="G103" s="1902"/>
      <c r="H103" s="1902"/>
      <c r="I103" s="1902"/>
      <c r="J103" s="1902"/>
      <c r="K103" s="1902"/>
    </row>
    <row r="110" spans="1:11">
      <c r="B110" s="1871"/>
    </row>
    <row r="111" spans="1:11">
      <c r="B111" s="1830"/>
    </row>
    <row r="112" spans="1:11">
      <c r="B112" s="1830"/>
    </row>
    <row r="113" spans="1:11">
      <c r="B113" s="1830"/>
    </row>
    <row r="114" spans="1:11">
      <c r="B114" s="1830"/>
    </row>
    <row r="115" spans="1:11">
      <c r="A115" s="1903"/>
      <c r="B115" s="1902"/>
      <c r="C115" s="1902"/>
      <c r="D115" s="1902"/>
      <c r="E115" s="1902"/>
      <c r="F115" s="1902"/>
      <c r="G115" s="1902"/>
      <c r="H115" s="1902"/>
      <c r="I115" s="1902"/>
      <c r="J115" s="1902"/>
      <c r="K115" s="1902"/>
    </row>
    <row r="116" spans="1:11">
      <c r="A116" s="1902"/>
      <c r="B116" s="1902"/>
      <c r="C116" s="1902"/>
      <c r="D116" s="1902"/>
      <c r="E116" s="1902"/>
      <c r="F116" s="1902"/>
      <c r="G116" s="1902"/>
      <c r="H116" s="1902"/>
      <c r="I116" s="1902"/>
      <c r="J116" s="1902"/>
      <c r="K116" s="1902"/>
    </row>
    <row r="117" spans="1:11">
      <c r="A117" s="1902"/>
      <c r="B117" s="1902"/>
      <c r="C117" s="1902"/>
      <c r="D117" s="1902"/>
      <c r="E117" s="1902"/>
      <c r="F117" s="1902"/>
      <c r="G117" s="1902"/>
      <c r="H117" s="1902"/>
      <c r="I117" s="1902"/>
      <c r="J117" s="1902"/>
      <c r="K117" s="1902"/>
    </row>
    <row r="118" spans="1:11">
      <c r="A118" s="1902"/>
      <c r="B118" s="1902"/>
      <c r="C118" s="1902"/>
      <c r="D118" s="1902"/>
      <c r="E118" s="1902"/>
      <c r="F118" s="1902"/>
      <c r="G118" s="1902"/>
      <c r="H118" s="1902"/>
      <c r="I118" s="1902"/>
      <c r="J118" s="1902"/>
      <c r="K118" s="1902"/>
    </row>
    <row r="119" spans="1:11">
      <c r="A119" s="1902"/>
      <c r="B119" s="1902"/>
      <c r="C119" s="1902"/>
      <c r="D119" s="1904"/>
      <c r="E119" s="1904"/>
      <c r="F119" s="1904"/>
      <c r="G119" s="1902"/>
      <c r="H119" s="1902"/>
      <c r="I119" s="1902"/>
      <c r="J119" s="1902"/>
      <c r="K119" s="1902"/>
    </row>
    <row r="120" spans="1:11">
      <c r="A120" s="1902"/>
      <c r="B120" s="1902"/>
      <c r="C120" s="1902"/>
      <c r="D120" s="1893"/>
      <c r="E120" s="1893"/>
      <c r="F120" s="1893"/>
      <c r="G120" s="1902"/>
      <c r="H120" s="1902"/>
      <c r="I120" s="1902"/>
      <c r="J120" s="1902"/>
      <c r="K120" s="1902"/>
    </row>
    <row r="121" spans="1:11">
      <c r="A121" s="1902"/>
      <c r="B121" s="1902"/>
      <c r="C121" s="1902"/>
      <c r="D121" s="1904"/>
      <c r="E121" s="1904"/>
      <c r="F121" s="1904"/>
      <c r="G121" s="1902"/>
      <c r="H121" s="1902"/>
      <c r="I121" s="1902"/>
      <c r="J121" s="1902"/>
      <c r="K121" s="1902"/>
    </row>
    <row r="122" spans="1:11">
      <c r="A122" s="1902"/>
      <c r="B122" s="1902"/>
      <c r="C122" s="1902"/>
      <c r="D122" s="1902"/>
      <c r="E122" s="1902"/>
      <c r="F122" s="1902"/>
      <c r="G122" s="1902"/>
      <c r="H122" s="1902"/>
      <c r="I122" s="1902"/>
      <c r="J122" s="1902"/>
      <c r="K122" s="1902"/>
    </row>
    <row r="123" spans="1:11">
      <c r="A123" s="1902"/>
      <c r="B123" s="1902"/>
      <c r="C123" s="1902"/>
      <c r="D123" s="1902"/>
      <c r="E123" s="1902"/>
      <c r="F123" s="1902"/>
      <c r="G123" s="1902"/>
      <c r="H123" s="1902"/>
      <c r="I123" s="1902"/>
      <c r="J123" s="1902"/>
      <c r="K123" s="1902"/>
    </row>
    <row r="124" spans="1:11">
      <c r="A124" s="1902"/>
      <c r="B124" s="1902"/>
      <c r="C124" s="1902"/>
      <c r="D124" s="1902"/>
      <c r="E124" s="1902"/>
      <c r="F124" s="1902"/>
      <c r="G124" s="1902"/>
      <c r="H124" s="1902"/>
      <c r="I124" s="1902"/>
      <c r="J124" s="1902"/>
      <c r="K124" s="1902"/>
    </row>
    <row r="125" spans="1:11">
      <c r="A125" s="1902"/>
      <c r="C125" s="1902"/>
      <c r="D125" s="1902"/>
      <c r="E125" s="1902"/>
      <c r="F125" s="1902"/>
      <c r="G125" s="1902"/>
      <c r="H125" s="1902"/>
      <c r="I125" s="1902"/>
      <c r="J125" s="1902"/>
      <c r="K125" s="1902"/>
    </row>
    <row r="126" spans="1:11">
      <c r="A126" s="1902"/>
      <c r="B126" s="1902"/>
      <c r="C126" s="1902"/>
      <c r="D126" s="1902"/>
      <c r="E126" s="1902"/>
      <c r="F126" s="1902"/>
      <c r="G126" s="1902"/>
      <c r="H126" s="1902"/>
      <c r="I126" s="1902"/>
      <c r="J126" s="1902"/>
      <c r="K126" s="1902"/>
    </row>
    <row r="127" spans="1:11">
      <c r="A127" s="1902"/>
      <c r="B127" s="1902"/>
      <c r="C127" s="1902"/>
      <c r="D127" s="1902"/>
      <c r="E127" s="1902"/>
      <c r="F127" s="1902"/>
      <c r="G127" s="1902"/>
      <c r="H127" s="1902"/>
      <c r="I127" s="1902"/>
      <c r="J127" s="1902"/>
      <c r="K127" s="1902"/>
    </row>
  </sheetData>
  <mergeCells count="17">
    <mergeCell ref="B93:J94"/>
    <mergeCell ref="B96:J102"/>
    <mergeCell ref="B67:J72"/>
    <mergeCell ref="B76:J77"/>
    <mergeCell ref="B79:J80"/>
    <mergeCell ref="B82:J83"/>
    <mergeCell ref="B85:I87"/>
    <mergeCell ref="B88:I89"/>
    <mergeCell ref="B62:K65"/>
    <mergeCell ref="I9:J9"/>
    <mergeCell ref="K9:M9"/>
    <mergeCell ref="N9:O9"/>
    <mergeCell ref="P9:Q9"/>
    <mergeCell ref="P11:Q11"/>
    <mergeCell ref="B34:C34"/>
    <mergeCell ref="P37:Q37"/>
    <mergeCell ref="B58:C58"/>
  </mergeCells>
  <pageMargins left="0.7" right="0.7" top="0.75" bottom="0.75" header="0.3" footer="0.3"/>
  <pageSetup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133"/>
  <sheetViews>
    <sheetView zoomScale="70" zoomScaleNormal="70" workbookViewId="0">
      <selection activeCell="H52" sqref="H52"/>
    </sheetView>
  </sheetViews>
  <sheetFormatPr defaultColWidth="11.81640625" defaultRowHeight="13"/>
  <cols>
    <col min="1" max="1" width="9" style="1924" customWidth="1"/>
    <col min="2" max="2" width="15" style="1924" bestFit="1" customWidth="1"/>
    <col min="3" max="3" width="4.1796875" style="1924" customWidth="1"/>
    <col min="4" max="4" width="21" style="1924" bestFit="1" customWidth="1"/>
    <col min="5" max="5" width="32.54296875" style="1924" customWidth="1"/>
    <col min="6" max="6" width="21.453125" style="1924" customWidth="1"/>
    <col min="7" max="7" width="19" style="1924" customWidth="1"/>
    <col min="8" max="8" width="19.81640625" style="1924" customWidth="1"/>
    <col min="9" max="10" width="16.1796875" style="1924" customWidth="1"/>
    <col min="11" max="11" width="19.7265625" style="1924" customWidth="1"/>
    <col min="12" max="12" width="16" style="1924" customWidth="1"/>
    <col min="13" max="13" width="19.1796875" style="1924" bestFit="1" customWidth="1"/>
    <col min="14" max="14" width="16.54296875" style="1924" bestFit="1" customWidth="1"/>
    <col min="15" max="15" width="15.26953125" style="1924" bestFit="1" customWidth="1"/>
    <col min="16" max="16384" width="11.81640625" style="1924"/>
  </cols>
  <sheetData>
    <row r="1" spans="1:16">
      <c r="A1" s="1924" t="s">
        <v>1465</v>
      </c>
      <c r="K1" s="1963"/>
      <c r="M1" s="1963"/>
    </row>
    <row r="2" spans="1:16">
      <c r="A2" s="1924" t="s">
        <v>680</v>
      </c>
      <c r="K2" s="1963"/>
      <c r="M2" s="1963"/>
    </row>
    <row r="3" spans="1:16">
      <c r="A3" s="1924" t="s">
        <v>1464</v>
      </c>
      <c r="M3" s="1963"/>
    </row>
    <row r="4" spans="1:16">
      <c r="A4" s="1924" t="s">
        <v>1463</v>
      </c>
      <c r="M4" s="1963"/>
    </row>
    <row r="5" spans="1:16">
      <c r="A5" s="1924" t="s">
        <v>1462</v>
      </c>
    </row>
    <row r="6" spans="1:16">
      <c r="A6" s="1924" t="s">
        <v>1291</v>
      </c>
    </row>
    <row r="7" spans="1:16">
      <c r="A7" s="2325" t="s">
        <v>1461</v>
      </c>
      <c r="B7" s="2325"/>
      <c r="C7" s="2325"/>
      <c r="D7" s="2325"/>
      <c r="E7" s="2325"/>
      <c r="F7" s="2325"/>
      <c r="G7" s="2325"/>
      <c r="H7" s="2325"/>
      <c r="I7" s="2325"/>
      <c r="J7" s="2325"/>
      <c r="K7" s="2325"/>
      <c r="L7" s="1962"/>
      <c r="M7" s="1962"/>
    </row>
    <row r="9" spans="1:16">
      <c r="A9" s="1930" t="s">
        <v>287</v>
      </c>
      <c r="B9" s="1930" t="s">
        <v>288</v>
      </c>
      <c r="C9" s="1930"/>
      <c r="D9" s="1930" t="s">
        <v>289</v>
      </c>
      <c r="E9" s="1930" t="s">
        <v>290</v>
      </c>
      <c r="F9" s="1930" t="s">
        <v>291</v>
      </c>
      <c r="G9" s="1930" t="s">
        <v>1460</v>
      </c>
      <c r="H9" s="1930" t="s">
        <v>293</v>
      </c>
      <c r="I9" s="1930" t="s">
        <v>1459</v>
      </c>
      <c r="J9" s="1930" t="s">
        <v>295</v>
      </c>
      <c r="K9" s="1930" t="s">
        <v>1458</v>
      </c>
      <c r="L9" s="1930" t="s">
        <v>297</v>
      </c>
      <c r="M9" s="1930" t="s">
        <v>1457</v>
      </c>
      <c r="P9" s="2321"/>
    </row>
    <row r="10" spans="1:16">
      <c r="F10" s="1958"/>
      <c r="G10" s="1958"/>
      <c r="P10" s="2321"/>
    </row>
    <row r="11" spans="1:16" ht="26">
      <c r="A11" s="1924" t="s">
        <v>527</v>
      </c>
      <c r="B11" s="1924" t="s">
        <v>1456</v>
      </c>
      <c r="D11" s="1959" t="s">
        <v>1528</v>
      </c>
      <c r="E11" s="1930" t="s">
        <v>1454</v>
      </c>
      <c r="F11" s="1953" t="s">
        <v>1453</v>
      </c>
      <c r="G11" s="1953" t="s">
        <v>1452</v>
      </c>
      <c r="H11" s="1953" t="s">
        <v>1451</v>
      </c>
      <c r="I11" s="1928" t="s">
        <v>1450</v>
      </c>
      <c r="J11" s="1961" t="s">
        <v>1449</v>
      </c>
      <c r="K11" s="1953" t="s">
        <v>1448</v>
      </c>
      <c r="L11" s="1959" t="s">
        <v>1447</v>
      </c>
      <c r="M11" s="1959" t="s">
        <v>1446</v>
      </c>
    </row>
    <row r="12" spans="1:16">
      <c r="D12" s="1959"/>
      <c r="E12" s="1930"/>
      <c r="F12" s="1953"/>
      <c r="G12" s="1953"/>
      <c r="H12" s="1953"/>
      <c r="I12" s="1928"/>
      <c r="J12" s="1928"/>
      <c r="K12" s="1953"/>
      <c r="M12" s="1958"/>
    </row>
    <row r="13" spans="1:16">
      <c r="A13" s="1960" t="s">
        <v>1445</v>
      </c>
      <c r="D13" s="1959"/>
      <c r="E13" s="1930"/>
      <c r="F13" s="1953"/>
      <c r="G13" s="1953"/>
      <c r="H13" s="1953"/>
      <c r="I13" s="1928"/>
      <c r="J13" s="1928"/>
      <c r="K13" s="1953"/>
      <c r="M13" s="1958"/>
    </row>
    <row r="14" spans="1:16">
      <c r="B14" s="1924" t="s">
        <v>1444</v>
      </c>
      <c r="D14" s="1924">
        <v>150959847</v>
      </c>
      <c r="E14" s="1924" t="s">
        <v>1443</v>
      </c>
      <c r="G14" s="1928"/>
      <c r="H14" s="1928"/>
      <c r="I14" s="1928"/>
      <c r="J14" s="1928"/>
      <c r="K14" s="1928"/>
    </row>
    <row r="15" spans="1:16" ht="12.65" customHeight="1">
      <c r="A15" s="1930">
        <v>1</v>
      </c>
      <c r="D15" s="1957">
        <v>59529075</v>
      </c>
      <c r="E15" s="1924" t="s">
        <v>1434</v>
      </c>
      <c r="G15" s="1953"/>
      <c r="H15" s="1953"/>
      <c r="I15" s="1928"/>
      <c r="J15" s="1928"/>
      <c r="K15" s="1928"/>
    </row>
    <row r="16" spans="1:16">
      <c r="A16" s="1930">
        <f t="shared" ref="A16:A33" si="0">+A15+1</f>
        <v>2</v>
      </c>
      <c r="B16" s="1924" t="s">
        <v>1430</v>
      </c>
      <c r="D16" s="1928">
        <f>+D14-+D15</f>
        <v>91430772</v>
      </c>
      <c r="F16" s="1928">
        <v>36292985</v>
      </c>
      <c r="G16" s="1954">
        <f>+F16/D16</f>
        <v>0.39694496946826613</v>
      </c>
      <c r="H16" s="1953">
        <v>-36292985</v>
      </c>
      <c r="I16" s="2160">
        <f>+F16+H16</f>
        <v>0</v>
      </c>
      <c r="J16" s="2160"/>
      <c r="K16" s="2160">
        <f>+I16+J16</f>
        <v>0</v>
      </c>
      <c r="M16" s="1924">
        <f>+D16-K16</f>
        <v>91430772</v>
      </c>
    </row>
    <row r="17" spans="1:13">
      <c r="A17" s="1930">
        <f t="shared" si="0"/>
        <v>3</v>
      </c>
      <c r="D17" s="1926"/>
      <c r="F17" s="1928"/>
      <c r="G17" s="1954"/>
      <c r="H17" s="1953"/>
      <c r="I17" s="1928"/>
      <c r="J17" s="1928"/>
      <c r="K17" s="1928"/>
    </row>
    <row r="18" spans="1:13">
      <c r="A18" s="1930">
        <f t="shared" si="0"/>
        <v>4</v>
      </c>
      <c r="F18" s="1928"/>
      <c r="G18" s="1954"/>
      <c r="H18" s="1953"/>
      <c r="I18" s="1928"/>
      <c r="J18" s="1928"/>
      <c r="K18" s="1928"/>
    </row>
    <row r="19" spans="1:13">
      <c r="A19" s="1930">
        <f t="shared" si="0"/>
        <v>5</v>
      </c>
      <c r="B19" s="1924" t="s">
        <v>1442</v>
      </c>
      <c r="D19" s="1924">
        <v>-21558154</v>
      </c>
      <c r="E19" s="1924" t="s">
        <v>1441</v>
      </c>
      <c r="F19" s="1928">
        <f>+D19*0.4</f>
        <v>-8623261.5999999996</v>
      </c>
      <c r="G19" s="1954">
        <f>+F19/D19</f>
        <v>0.39999999999999997</v>
      </c>
      <c r="H19" s="2161">
        <v>0</v>
      </c>
      <c r="I19" s="1928">
        <f>+F19+H19</f>
        <v>-8623261.5999999996</v>
      </c>
      <c r="J19" s="1928"/>
      <c r="K19" s="1928">
        <f>+I19-J19</f>
        <v>-8623261.5999999996</v>
      </c>
      <c r="L19" s="1924" t="s">
        <v>16</v>
      </c>
      <c r="M19" s="1924">
        <f>+D19-K19</f>
        <v>-12934892.4</v>
      </c>
    </row>
    <row r="20" spans="1:13">
      <c r="A20" s="1930">
        <f t="shared" si="0"/>
        <v>6</v>
      </c>
      <c r="F20" s="1928"/>
      <c r="G20" s="1954"/>
      <c r="H20" s="1953"/>
      <c r="I20" s="1928"/>
      <c r="J20" s="1928"/>
      <c r="K20" s="1928"/>
    </row>
    <row r="21" spans="1:13">
      <c r="A21" s="1930">
        <f t="shared" si="0"/>
        <v>7</v>
      </c>
      <c r="B21" s="1924" t="s">
        <v>1429</v>
      </c>
      <c r="D21" s="1924">
        <v>-1025608963</v>
      </c>
      <c r="E21" s="1924" t="s">
        <v>1440</v>
      </c>
      <c r="F21" s="1928"/>
      <c r="G21" s="1954"/>
      <c r="H21" s="1953"/>
      <c r="I21" s="1928"/>
      <c r="J21" s="1928"/>
      <c r="K21" s="1928"/>
    </row>
    <row r="22" spans="1:13">
      <c r="A22" s="1930">
        <f t="shared" si="0"/>
        <v>8</v>
      </c>
      <c r="D22" s="1924">
        <v>-4395006.42</v>
      </c>
      <c r="E22" s="1926" t="s">
        <v>1439</v>
      </c>
      <c r="F22" s="1928">
        <f>+D22</f>
        <v>-4395006.42</v>
      </c>
      <c r="G22" s="1954"/>
      <c r="H22" s="1953"/>
      <c r="I22" s="1928"/>
      <c r="J22" s="1928"/>
      <c r="K22" s="1928"/>
    </row>
    <row r="23" spans="1:13">
      <c r="A23" s="1930">
        <f t="shared" si="0"/>
        <v>9</v>
      </c>
      <c r="D23" s="1957">
        <v>-2160684.7999999998</v>
      </c>
      <c r="E23" s="1926" t="s">
        <v>1438</v>
      </c>
      <c r="F23" s="1932">
        <f>+D23</f>
        <v>-2160684.7999999998</v>
      </c>
      <c r="G23" s="1954"/>
      <c r="H23" s="1953"/>
      <c r="I23" s="1928"/>
      <c r="J23" s="1928"/>
      <c r="K23" s="1928"/>
    </row>
    <row r="24" spans="1:13">
      <c r="A24" s="1930">
        <f t="shared" si="0"/>
        <v>10</v>
      </c>
      <c r="D24" s="1957">
        <f>+D21-D22-D23</f>
        <v>-1019053271.7800001</v>
      </c>
      <c r="F24" s="1924">
        <v>-407621308.76999998</v>
      </c>
      <c r="G24" s="1954">
        <f>+F24/D24</f>
        <v>0.40000000005691549</v>
      </c>
      <c r="H24" s="1953"/>
      <c r="I24" s="1928"/>
      <c r="J24" s="1928"/>
      <c r="K24" s="1928"/>
    </row>
    <row r="25" spans="1:13">
      <c r="A25" s="1930">
        <f t="shared" si="0"/>
        <v>11</v>
      </c>
      <c r="E25" s="1924" t="s">
        <v>1437</v>
      </c>
      <c r="F25" s="1956">
        <f>+F22+F23+F24</f>
        <v>-414176999.99000001</v>
      </c>
      <c r="G25" s="1954"/>
      <c r="H25" s="1953"/>
      <c r="I25" s="1928"/>
      <c r="J25" s="1928"/>
      <c r="K25" s="1928"/>
    </row>
    <row r="26" spans="1:13">
      <c r="A26" s="1930">
        <f t="shared" si="0"/>
        <v>12</v>
      </c>
      <c r="E26" s="1924" t="s">
        <v>1425</v>
      </c>
      <c r="F26" s="1924">
        <v>-352717667</v>
      </c>
      <c r="G26" s="1954"/>
      <c r="H26" s="1928"/>
      <c r="I26" s="1928">
        <f>+F26+H26</f>
        <v>-352717667</v>
      </c>
      <c r="J26" s="1928"/>
      <c r="K26" s="1928">
        <f>+I26+J26</f>
        <v>-352717667</v>
      </c>
      <c r="L26" s="1924" t="s">
        <v>872</v>
      </c>
      <c r="M26" s="1924">
        <f>+D24-K26-K27</f>
        <v>-604876271.79000008</v>
      </c>
    </row>
    <row r="27" spans="1:13">
      <c r="A27" s="1930">
        <f t="shared" si="0"/>
        <v>13</v>
      </c>
      <c r="E27" s="1924" t="s">
        <v>1424</v>
      </c>
      <c r="F27" s="1924">
        <v>-61459332.990000002</v>
      </c>
      <c r="G27" s="1954"/>
      <c r="H27" s="1928"/>
      <c r="I27" s="1928">
        <f>+F27+H27</f>
        <v>-61459332.990000002</v>
      </c>
      <c r="J27" s="2457">
        <v>0</v>
      </c>
      <c r="K27" s="1928">
        <f>+I27+J27</f>
        <v>-61459332.990000002</v>
      </c>
      <c r="L27" s="1924" t="s">
        <v>871</v>
      </c>
    </row>
    <row r="28" spans="1:13">
      <c r="A28" s="1930">
        <f t="shared" si="0"/>
        <v>14</v>
      </c>
      <c r="G28" s="1954"/>
      <c r="H28" s="1953"/>
      <c r="I28" s="1928"/>
      <c r="J28" s="2160"/>
      <c r="K28" s="1928"/>
    </row>
    <row r="29" spans="1:13">
      <c r="A29" s="1930">
        <f t="shared" si="0"/>
        <v>15</v>
      </c>
      <c r="B29" s="1924" t="s">
        <v>1436</v>
      </c>
      <c r="D29" s="1924">
        <v>-271666702</v>
      </c>
      <c r="E29" s="1924" t="s">
        <v>1435</v>
      </c>
      <c r="F29" s="1928"/>
      <c r="G29" s="1954"/>
      <c r="H29" s="1953"/>
      <c r="I29" s="1928"/>
      <c r="J29" s="2160"/>
      <c r="K29" s="1928"/>
    </row>
    <row r="30" spans="1:13">
      <c r="A30" s="1930">
        <f t="shared" si="0"/>
        <v>16</v>
      </c>
      <c r="D30" s="1924">
        <v>-172830981</v>
      </c>
      <c r="E30" s="1924" t="s">
        <v>1434</v>
      </c>
      <c r="F30" s="1932"/>
      <c r="G30" s="1954"/>
      <c r="H30" s="1953"/>
      <c r="I30" s="1928"/>
      <c r="J30" s="2160"/>
      <c r="K30" s="1928"/>
    </row>
    <row r="31" spans="1:13">
      <c r="A31" s="1930">
        <f t="shared" si="0"/>
        <v>17</v>
      </c>
      <c r="B31" s="1924" t="s">
        <v>1423</v>
      </c>
      <c r="D31" s="1955">
        <f>+D29+-D30</f>
        <v>-98835721</v>
      </c>
      <c r="F31" s="1924">
        <v>-39534288.470000006</v>
      </c>
      <c r="G31" s="1954">
        <f>+F31/D31</f>
        <v>0.40000000070824604</v>
      </c>
      <c r="H31" s="1953">
        <f>-+H16</f>
        <v>36292985</v>
      </c>
      <c r="I31" s="1928">
        <f>+F31+H31</f>
        <v>-3241303.4700000063</v>
      </c>
      <c r="J31" s="2457">
        <v>0</v>
      </c>
      <c r="K31" s="1928">
        <f>+I31+J31</f>
        <v>-3241303.4700000063</v>
      </c>
      <c r="L31" s="1924" t="s">
        <v>871</v>
      </c>
      <c r="M31" s="1924">
        <f>+D31-K31</f>
        <v>-95594417.530000001</v>
      </c>
    </row>
    <row r="32" spans="1:13">
      <c r="A32" s="1930">
        <f t="shared" si="0"/>
        <v>18</v>
      </c>
      <c r="D32" s="1934"/>
      <c r="F32" s="1932"/>
      <c r="G32" s="1954"/>
      <c r="H32" s="1953"/>
      <c r="I32" s="1928"/>
      <c r="J32" s="2160"/>
      <c r="K32" s="1928"/>
    </row>
    <row r="33" spans="1:16">
      <c r="A33" s="1930">
        <f t="shared" si="0"/>
        <v>19</v>
      </c>
      <c r="B33" s="2322" t="s">
        <v>1433</v>
      </c>
      <c r="D33" s="1955">
        <f>+D31+D21+D19+D16</f>
        <v>-1054572066</v>
      </c>
      <c r="E33" s="2322" t="s">
        <v>1432</v>
      </c>
      <c r="F33" s="1955">
        <f>+F31+F25+F19+F16</f>
        <v>-426041565.06000006</v>
      </c>
      <c r="G33" s="1954"/>
      <c r="H33" s="2162">
        <f>SUM(H15:H31)</f>
        <v>0</v>
      </c>
      <c r="I33" s="1955">
        <f>SUM(I12:I31)</f>
        <v>-426041565.06000006</v>
      </c>
      <c r="J33" s="2162">
        <f>SUM(J12:J31)</f>
        <v>0</v>
      </c>
      <c r="K33" s="1955">
        <f>SUM(K12:K31)</f>
        <v>-426041565.06000006</v>
      </c>
      <c r="M33" s="1955">
        <f>SUM(M12:M31)</f>
        <v>-621974809.72000003</v>
      </c>
    </row>
    <row r="34" spans="1:16">
      <c r="A34" s="1930"/>
      <c r="B34" s="2322"/>
      <c r="E34" s="2322"/>
      <c r="F34" s="1926"/>
      <c r="G34" s="1954"/>
      <c r="H34" s="1953"/>
      <c r="I34" s="1928"/>
      <c r="J34" s="1928"/>
      <c r="K34" s="1928"/>
    </row>
    <row r="35" spans="1:16">
      <c r="A35" s="1926"/>
      <c r="B35" s="1926"/>
      <c r="C35" s="1926"/>
      <c r="D35" s="1926"/>
      <c r="E35" s="1926"/>
      <c r="F35" s="1926"/>
      <c r="G35" s="1952"/>
      <c r="H35" s="1926"/>
      <c r="I35" s="1926"/>
      <c r="J35" s="1926"/>
      <c r="K35" s="1926"/>
      <c r="L35" s="1926"/>
      <c r="M35" s="1926"/>
      <c r="N35" s="1926"/>
      <c r="O35" s="1926"/>
      <c r="P35" s="1926"/>
    </row>
    <row r="36" spans="1:16">
      <c r="A36" s="1926"/>
      <c r="B36" s="1926"/>
      <c r="C36" s="1926"/>
      <c r="D36" s="1926"/>
      <c r="E36" s="1926"/>
      <c r="F36" s="1926"/>
      <c r="G36" s="1926"/>
      <c r="H36" s="1926"/>
      <c r="I36" s="1926"/>
      <c r="J36" s="1926"/>
      <c r="K36" s="1926"/>
      <c r="L36" s="1926"/>
      <c r="M36" s="1926"/>
      <c r="N36" s="1926"/>
      <c r="O36" s="1926"/>
      <c r="P36" s="1926"/>
    </row>
    <row r="37" spans="1:16">
      <c r="A37" s="1926"/>
      <c r="B37" s="1926"/>
      <c r="C37" s="1926"/>
      <c r="D37" s="1926"/>
      <c r="E37" s="1926"/>
      <c r="F37" s="1926"/>
      <c r="G37" s="1926"/>
      <c r="H37" s="1926"/>
      <c r="I37" s="1926"/>
      <c r="J37" s="1926"/>
      <c r="K37" s="1926"/>
      <c r="L37" s="1926"/>
      <c r="M37" s="1926"/>
      <c r="N37" s="1926"/>
      <c r="O37" s="1926"/>
      <c r="P37" s="1926"/>
    </row>
    <row r="38" spans="1:16">
      <c r="A38" s="1930"/>
      <c r="F38" s="1928"/>
      <c r="G38" s="1941"/>
      <c r="H38" s="1928"/>
      <c r="I38" s="1928"/>
      <c r="J38" s="1928"/>
      <c r="K38" s="1928"/>
    </row>
    <row r="39" spans="1:16">
      <c r="A39" s="1951" t="s">
        <v>1431</v>
      </c>
      <c r="F39" s="1928"/>
      <c r="G39" s="1941"/>
      <c r="H39" s="1928"/>
      <c r="I39" s="1928"/>
      <c r="J39" s="1928"/>
      <c r="K39" s="1928"/>
    </row>
    <row r="40" spans="1:16">
      <c r="A40" s="1941"/>
      <c r="B40" s="1928"/>
      <c r="C40" s="1928"/>
      <c r="D40" s="1940"/>
      <c r="E40" s="1940"/>
      <c r="F40" s="1928"/>
      <c r="G40" s="1941"/>
      <c r="H40" s="1928"/>
      <c r="I40" s="1928"/>
      <c r="J40" s="1928"/>
      <c r="K40" s="1928"/>
      <c r="L40" s="1928"/>
    </row>
    <row r="41" spans="1:16">
      <c r="A41" s="1941">
        <f>+A37+1</f>
        <v>1</v>
      </c>
      <c r="B41" s="1947" t="s">
        <v>1430</v>
      </c>
      <c r="C41" s="1939"/>
      <c r="D41" s="1944">
        <v>13359285</v>
      </c>
      <c r="E41" s="1947" t="s">
        <v>678</v>
      </c>
      <c r="F41" s="1942">
        <v>5334684</v>
      </c>
      <c r="G41" s="1946">
        <f>+F41/D41</f>
        <v>0.39932406562177541</v>
      </c>
      <c r="H41" s="1928">
        <f>-F41</f>
        <v>-5334684</v>
      </c>
      <c r="I41" s="2163">
        <f>+++F41+H41</f>
        <v>0</v>
      </c>
      <c r="J41" s="2164">
        <v>0</v>
      </c>
      <c r="K41" s="2160">
        <f>+I41+J41</f>
        <v>0</v>
      </c>
      <c r="M41" s="1924">
        <f>+D41-K41</f>
        <v>13359285</v>
      </c>
    </row>
    <row r="42" spans="1:16">
      <c r="A42" s="1941">
        <f t="shared" ref="A42:A52" si="1">+A41+1</f>
        <v>2</v>
      </c>
      <c r="B42" s="1947"/>
      <c r="C42" s="1939"/>
      <c r="D42" s="1944"/>
      <c r="E42" s="1944"/>
      <c r="F42" s="1943"/>
      <c r="G42" s="1946"/>
      <c r="H42" s="1928"/>
      <c r="I42" s="1943"/>
      <c r="J42" s="1942"/>
      <c r="K42" s="1928"/>
    </row>
    <row r="43" spans="1:16">
      <c r="A43" s="1941">
        <f t="shared" si="1"/>
        <v>3</v>
      </c>
      <c r="B43" s="1947" t="s">
        <v>1429</v>
      </c>
      <c r="C43" s="1939"/>
      <c r="D43" s="1944">
        <v>-193573169</v>
      </c>
      <c r="E43" s="1947" t="s">
        <v>678</v>
      </c>
      <c r="F43" s="1942"/>
      <c r="G43" s="1946"/>
      <c r="H43" s="1928"/>
      <c r="I43" s="1943"/>
      <c r="J43" s="1939"/>
      <c r="K43" s="1928"/>
    </row>
    <row r="44" spans="1:16">
      <c r="A44" s="1941">
        <f t="shared" si="1"/>
        <v>4</v>
      </c>
      <c r="B44" s="1947"/>
      <c r="C44" s="1939"/>
      <c r="D44" s="1950">
        <v>-952447</v>
      </c>
      <c r="E44" s="1944" t="s">
        <v>1428</v>
      </c>
      <c r="F44" s="1942">
        <f>+D44</f>
        <v>-952447</v>
      </c>
      <c r="G44" s="1946"/>
      <c r="H44" s="1928"/>
      <c r="I44" s="1943"/>
      <c r="J44" s="1942"/>
      <c r="K44" s="1928"/>
    </row>
    <row r="45" spans="1:16">
      <c r="A45" s="1941">
        <f t="shared" si="1"/>
        <v>5</v>
      </c>
      <c r="B45" s="1947"/>
      <c r="C45" s="1939"/>
      <c r="D45" s="1944">
        <f>+D43-D44</f>
        <v>-192620722</v>
      </c>
      <c r="E45" s="1949" t="s">
        <v>1427</v>
      </c>
      <c r="F45" s="1942">
        <v>-77048289</v>
      </c>
      <c r="G45" s="1946">
        <f>+F45/D45</f>
        <v>0.4000000010383099</v>
      </c>
      <c r="H45" s="1928"/>
      <c r="I45" s="1945"/>
      <c r="J45" s="1942"/>
    </row>
    <row r="46" spans="1:16">
      <c r="A46" s="1941">
        <f t="shared" si="1"/>
        <v>6</v>
      </c>
      <c r="B46" s="1947"/>
      <c r="C46" s="1939"/>
      <c r="D46" s="1944"/>
      <c r="E46" s="1939" t="s">
        <v>1426</v>
      </c>
      <c r="F46" s="1935">
        <f>+F45+F44</f>
        <v>-78000736</v>
      </c>
      <c r="G46" s="1946"/>
      <c r="H46" s="1928"/>
      <c r="I46" s="1943"/>
      <c r="J46" s="1942"/>
      <c r="K46" s="1928"/>
    </row>
    <row r="47" spans="1:16">
      <c r="A47" s="1941">
        <f t="shared" si="1"/>
        <v>7</v>
      </c>
      <c r="B47" s="1947"/>
      <c r="C47" s="1939"/>
      <c r="D47" s="1944"/>
      <c r="E47" s="1944" t="s">
        <v>1425</v>
      </c>
      <c r="F47" s="1936">
        <v>-73484727</v>
      </c>
      <c r="G47" s="1946"/>
      <c r="H47" s="1928"/>
      <c r="I47" s="1945">
        <f>+F47+H47</f>
        <v>-73484727</v>
      </c>
      <c r="J47" s="1924">
        <f>+-905989+8451935-205142</f>
        <v>7340804</v>
      </c>
      <c r="K47" s="1928">
        <f>+I47+J47</f>
        <v>-66143923</v>
      </c>
      <c r="L47" s="1924" t="s">
        <v>872</v>
      </c>
      <c r="M47" s="1924">
        <f>+D45-K47-K48</f>
        <v>-105321556.57600001</v>
      </c>
    </row>
    <row r="48" spans="1:16">
      <c r="A48" s="1941">
        <f t="shared" si="1"/>
        <v>8</v>
      </c>
      <c r="B48" s="1947"/>
      <c r="C48" s="1939"/>
      <c r="D48" s="1944"/>
      <c r="E48" s="1944" t="s">
        <v>1424</v>
      </c>
      <c r="F48" s="1936">
        <v>-4516009</v>
      </c>
      <c r="G48" s="1946"/>
      <c r="H48" s="1928"/>
      <c r="I48" s="1945">
        <f>+F48+H48</f>
        <v>-4516009</v>
      </c>
      <c r="J48" s="1924">
        <v>-16639233.424000001</v>
      </c>
      <c r="K48" s="1928">
        <f>+I48+J48</f>
        <v>-21155242.424000002</v>
      </c>
      <c r="L48" s="1924" t="s">
        <v>871</v>
      </c>
    </row>
    <row r="49" spans="1:13">
      <c r="A49" s="1941">
        <f t="shared" si="1"/>
        <v>9</v>
      </c>
      <c r="B49" s="1947"/>
      <c r="C49" s="1939"/>
      <c r="D49" s="1944"/>
      <c r="E49" s="1944"/>
      <c r="F49" s="1946"/>
      <c r="G49" s="1946"/>
      <c r="H49" s="1928"/>
      <c r="I49" s="1948"/>
      <c r="J49" s="1942"/>
      <c r="K49" s="1928"/>
    </row>
    <row r="50" spans="1:13">
      <c r="A50" s="1941">
        <f t="shared" si="1"/>
        <v>10</v>
      </c>
      <c r="B50" s="1947" t="s">
        <v>1423</v>
      </c>
      <c r="C50" s="1939"/>
      <c r="D50" s="1944">
        <v>-8351779</v>
      </c>
      <c r="E50" s="1947" t="s">
        <v>678</v>
      </c>
      <c r="F50" s="1942">
        <v>-3340712</v>
      </c>
      <c r="G50" s="1946">
        <f>+F50/D50</f>
        <v>0.40000004789398763</v>
      </c>
      <c r="H50" s="1928">
        <f>-H41</f>
        <v>5334684</v>
      </c>
      <c r="I50" s="1945">
        <f>+F50+H50</f>
        <v>1993972</v>
      </c>
      <c r="J50" s="1944">
        <v>7686978.3640000001</v>
      </c>
      <c r="K50" s="1928">
        <f>+I50+J50</f>
        <v>9680950.3640000001</v>
      </c>
      <c r="L50" s="1924" t="s">
        <v>871</v>
      </c>
      <c r="M50" s="1924">
        <f>+D50-K50</f>
        <v>-18032729.364</v>
      </c>
    </row>
    <row r="51" spans="1:13">
      <c r="A51" s="1941">
        <f t="shared" si="1"/>
        <v>11</v>
      </c>
      <c r="B51" s="1939"/>
      <c r="C51" s="1939"/>
      <c r="D51" s="1944"/>
      <c r="E51" s="1944"/>
      <c r="F51" s="1943"/>
      <c r="G51" s="1943"/>
      <c r="H51" s="1928"/>
      <c r="I51" s="1943"/>
      <c r="J51" s="1942"/>
      <c r="K51" s="1928"/>
    </row>
    <row r="52" spans="1:13" ht="13.5" thickBot="1">
      <c r="A52" s="1941">
        <f t="shared" si="1"/>
        <v>12</v>
      </c>
      <c r="B52" s="1940"/>
      <c r="C52" s="1939"/>
      <c r="D52" s="1938">
        <f>+D41+D43+D50</f>
        <v>-188565663</v>
      </c>
      <c r="E52" s="1937" t="s">
        <v>1422</v>
      </c>
      <c r="F52" s="1935">
        <f>+F50+F48+F47+F41</f>
        <v>-76006764</v>
      </c>
      <c r="G52" s="1936"/>
      <c r="H52" s="2165">
        <f>SUM(H40:H50)</f>
        <v>0</v>
      </c>
      <c r="I52" s="1935">
        <f>SUM(I41:I50)</f>
        <v>-76006764</v>
      </c>
      <c r="J52" s="1935">
        <f>SUM(J41:J50)</f>
        <v>-1611451.0600000005</v>
      </c>
      <c r="K52" s="1935">
        <f>SUM(K41:K50)</f>
        <v>-77618215.060000002</v>
      </c>
      <c r="M52" s="1935">
        <f>SUM(M41:M50)</f>
        <v>-109995000.94</v>
      </c>
    </row>
    <row r="53" spans="1:13">
      <c r="A53" s="1930"/>
      <c r="D53" s="1934"/>
      <c r="F53" s="1932"/>
      <c r="G53" s="1933"/>
      <c r="H53" s="1932"/>
      <c r="I53" s="1928"/>
      <c r="J53" s="1928"/>
      <c r="K53" s="1932"/>
    </row>
    <row r="54" spans="1:13">
      <c r="A54" s="1930"/>
      <c r="D54" s="1934"/>
      <c r="F54" s="1932"/>
      <c r="G54" s="1933"/>
      <c r="H54" s="1932"/>
      <c r="I54" s="1928"/>
      <c r="J54" s="1928"/>
      <c r="K54" s="1932"/>
    </row>
    <row r="55" spans="1:13" ht="12.75" customHeight="1">
      <c r="A55" s="1931" t="s">
        <v>1421</v>
      </c>
      <c r="B55" s="1931"/>
      <c r="C55" s="1931"/>
      <c r="D55" s="1931"/>
      <c r="E55" s="1931"/>
      <c r="F55" s="1931"/>
      <c r="G55" s="1931"/>
      <c r="H55" s="1928"/>
      <c r="I55" s="1928"/>
      <c r="J55" s="1928"/>
      <c r="K55" s="1928"/>
    </row>
    <row r="56" spans="1:13" ht="12.75" customHeight="1">
      <c r="B56" s="2323" t="s">
        <v>1420</v>
      </c>
      <c r="C56" s="2323"/>
      <c r="D56" s="2323"/>
      <c r="E56" s="2323"/>
      <c r="F56" s="2323"/>
      <c r="G56" s="2323"/>
      <c r="H56" s="2323"/>
      <c r="I56" s="1928"/>
      <c r="K56" s="1928"/>
    </row>
    <row r="57" spans="1:13">
      <c r="A57" s="1931"/>
      <c r="B57" s="2323"/>
      <c r="C57" s="2323"/>
      <c r="D57" s="2323"/>
      <c r="E57" s="2323"/>
      <c r="F57" s="2323"/>
      <c r="G57" s="2323"/>
      <c r="H57" s="2323"/>
      <c r="I57" s="1928"/>
      <c r="J57" s="1928"/>
      <c r="K57" s="1928"/>
    </row>
    <row r="58" spans="1:13">
      <c r="A58" s="1931"/>
      <c r="B58" s="2323"/>
      <c r="C58" s="2323"/>
      <c r="D58" s="2323"/>
      <c r="E58" s="2323"/>
      <c r="F58" s="2323"/>
      <c r="G58" s="2323"/>
      <c r="H58" s="2323"/>
      <c r="I58" s="1928"/>
      <c r="J58" s="1928"/>
      <c r="K58" s="1928"/>
    </row>
    <row r="59" spans="1:13">
      <c r="A59" s="1931"/>
      <c r="B59" s="2323"/>
      <c r="C59" s="2323"/>
      <c r="D59" s="2323"/>
      <c r="E59" s="2323"/>
      <c r="F59" s="2323"/>
      <c r="G59" s="2323"/>
      <c r="H59" s="2323"/>
      <c r="I59" s="1928"/>
      <c r="J59" s="1928"/>
      <c r="K59" s="1928"/>
    </row>
    <row r="60" spans="1:13">
      <c r="A60" s="1930"/>
      <c r="B60" s="1927"/>
      <c r="C60" s="1927"/>
      <c r="D60" s="1927"/>
      <c r="E60" s="1927"/>
      <c r="F60" s="1929"/>
      <c r="G60" s="1929"/>
      <c r="H60" s="1929"/>
      <c r="I60" s="1928"/>
      <c r="J60" s="1928"/>
      <c r="K60" s="1928"/>
    </row>
    <row r="61" spans="1:13">
      <c r="A61" s="1930" t="s">
        <v>1419</v>
      </c>
      <c r="B61" s="1927" t="s">
        <v>1418</v>
      </c>
      <c r="C61" s="1927"/>
      <c r="D61" s="1927"/>
      <c r="E61" s="1927"/>
      <c r="F61" s="1929"/>
      <c r="G61" s="1929"/>
      <c r="H61" s="1929"/>
      <c r="I61" s="1928"/>
      <c r="J61" s="1928"/>
      <c r="K61" s="1928"/>
    </row>
    <row r="62" spans="1:13">
      <c r="A62" s="1930"/>
      <c r="B62" s="1927"/>
      <c r="C62" s="1927"/>
      <c r="D62" s="1927"/>
      <c r="E62" s="1927"/>
      <c r="F62" s="1929"/>
      <c r="G62" s="1929"/>
      <c r="H62" s="1929"/>
      <c r="I62" s="1928"/>
      <c r="J62" s="1928"/>
      <c r="K62" s="1928"/>
    </row>
    <row r="63" spans="1:13">
      <c r="A63" s="1930"/>
      <c r="B63" s="1927"/>
      <c r="C63" s="1927"/>
      <c r="D63" s="1927"/>
      <c r="E63" s="1927"/>
      <c r="F63" s="1929"/>
      <c r="G63" s="1929"/>
      <c r="H63" s="1929"/>
      <c r="I63" s="1928"/>
      <c r="J63" s="1928"/>
      <c r="K63" s="1928"/>
    </row>
    <row r="64" spans="1:13">
      <c r="A64" s="1924" t="s">
        <v>1417</v>
      </c>
      <c r="B64" s="2324" t="s">
        <v>1416</v>
      </c>
      <c r="C64" s="2324"/>
      <c r="D64" s="2324"/>
      <c r="E64" s="2324"/>
      <c r="F64" s="2324"/>
      <c r="G64" s="2324"/>
      <c r="H64" s="1929"/>
      <c r="I64" s="1928"/>
      <c r="J64" s="1928"/>
      <c r="K64" s="1928"/>
    </row>
    <row r="65" spans="1:11">
      <c r="B65" s="2324"/>
      <c r="C65" s="2324"/>
      <c r="D65" s="2324"/>
      <c r="E65" s="2324"/>
      <c r="F65" s="2324"/>
      <c r="G65" s="2324"/>
      <c r="H65" s="1929"/>
      <c r="I65" s="1928"/>
      <c r="J65" s="1928"/>
      <c r="K65" s="1928"/>
    </row>
    <row r="66" spans="1:11">
      <c r="B66" s="2324"/>
      <c r="C66" s="2324"/>
      <c r="D66" s="2324"/>
      <c r="E66" s="2324"/>
      <c r="F66" s="2324"/>
      <c r="G66" s="2324"/>
      <c r="H66" s="1929"/>
      <c r="I66" s="1928"/>
      <c r="J66" s="1928"/>
      <c r="K66" s="1928"/>
    </row>
    <row r="67" spans="1:11">
      <c r="B67" s="1927"/>
      <c r="C67" s="1927"/>
      <c r="D67" s="1927"/>
      <c r="E67" s="1927"/>
      <c r="F67" s="1927"/>
      <c r="G67" s="1927"/>
      <c r="H67" s="1927"/>
    </row>
    <row r="68" spans="1:11" ht="15.65" customHeight="1">
      <c r="A68" s="1924" t="s">
        <v>1415</v>
      </c>
      <c r="B68" s="2326" t="s">
        <v>1498</v>
      </c>
      <c r="C68" s="2326"/>
      <c r="D68" s="2326"/>
      <c r="E68" s="2326"/>
      <c r="F68" s="2326"/>
      <c r="G68" s="2326"/>
      <c r="H68" s="2326"/>
    </row>
    <row r="69" spans="1:11" ht="12.65" customHeight="1">
      <c r="B69" s="2326"/>
      <c r="C69" s="2326"/>
      <c r="D69" s="2326"/>
      <c r="E69" s="2326"/>
      <c r="F69" s="2326"/>
      <c r="G69" s="2326"/>
      <c r="H69" s="2326"/>
    </row>
    <row r="70" spans="1:11" ht="12.65" customHeight="1">
      <c r="B70" s="2326"/>
      <c r="C70" s="2326"/>
      <c r="D70" s="2326"/>
      <c r="E70" s="2326"/>
      <c r="F70" s="2326"/>
      <c r="G70" s="2326"/>
      <c r="H70" s="2326"/>
    </row>
    <row r="71" spans="1:11" ht="12.65" customHeight="1">
      <c r="B71" s="1927"/>
      <c r="C71" s="1927"/>
      <c r="D71" s="1927"/>
      <c r="E71" s="1927"/>
      <c r="F71" s="1927"/>
      <c r="G71" s="1927"/>
      <c r="H71" s="1927"/>
    </row>
    <row r="72" spans="1:11" ht="12.65" customHeight="1">
      <c r="A72" s="1924" t="s">
        <v>1414</v>
      </c>
      <c r="B72" s="2322" t="s">
        <v>1413</v>
      </c>
      <c r="C72" s="2322"/>
      <c r="D72" s="2322"/>
      <c r="E72" s="2322"/>
      <c r="F72" s="2322"/>
      <c r="G72" s="2322"/>
    </row>
    <row r="73" spans="1:11">
      <c r="B73" s="2322"/>
      <c r="C73" s="2322"/>
      <c r="D73" s="2322"/>
      <c r="E73" s="2322"/>
      <c r="F73" s="2322"/>
      <c r="G73" s="2322"/>
    </row>
    <row r="74" spans="1:11" ht="12.65" customHeight="1"/>
    <row r="75" spans="1:11" ht="12.75" customHeight="1">
      <c r="A75" s="1924" t="s">
        <v>1412</v>
      </c>
      <c r="B75" s="2327" t="s">
        <v>1501</v>
      </c>
      <c r="C75" s="2327"/>
      <c r="D75" s="2327"/>
      <c r="E75" s="2327"/>
      <c r="F75" s="2327"/>
    </row>
    <row r="76" spans="1:11">
      <c r="B76" s="2327"/>
      <c r="C76" s="2327"/>
      <c r="D76" s="2327"/>
      <c r="E76" s="2327"/>
      <c r="F76" s="2327"/>
    </row>
    <row r="78" spans="1:11">
      <c r="A78" s="1924" t="s">
        <v>1411</v>
      </c>
      <c r="B78" s="2320" t="s">
        <v>1410</v>
      </c>
      <c r="C78" s="2320"/>
      <c r="D78" s="2320"/>
      <c r="E78" s="2320"/>
      <c r="F78" s="2320"/>
      <c r="G78" s="2320"/>
      <c r="H78" s="2320"/>
    </row>
    <row r="79" spans="1:11">
      <c r="B79" s="2320"/>
      <c r="C79" s="2320"/>
      <c r="D79" s="2320"/>
      <c r="E79" s="2320"/>
      <c r="F79" s="2320"/>
      <c r="G79" s="2320"/>
      <c r="H79" s="2320"/>
    </row>
    <row r="80" spans="1:11">
      <c r="B80" s="2320"/>
      <c r="C80" s="2320"/>
      <c r="D80" s="2320"/>
      <c r="E80" s="2320"/>
      <c r="F80" s="2320"/>
      <c r="G80" s="2320"/>
      <c r="H80" s="2320"/>
    </row>
    <row r="81" spans="1:11">
      <c r="A81" s="1926" t="s">
        <v>1409</v>
      </c>
      <c r="B81" s="2320" t="s">
        <v>1497</v>
      </c>
      <c r="C81" s="2320"/>
      <c r="D81" s="2320"/>
      <c r="E81" s="2320"/>
      <c r="F81" s="2320"/>
      <c r="G81" s="2320"/>
      <c r="H81" s="2320"/>
      <c r="I81" s="1926"/>
      <c r="J81" s="1926"/>
      <c r="K81" s="1926"/>
    </row>
    <row r="82" spans="1:11" ht="13.5" customHeight="1">
      <c r="B82" s="2320"/>
      <c r="C82" s="2320"/>
      <c r="D82" s="2320"/>
      <c r="E82" s="2320"/>
      <c r="F82" s="2320"/>
      <c r="G82" s="2320"/>
      <c r="H82" s="2320"/>
      <c r="I82" s="1925"/>
      <c r="J82" s="1925"/>
      <c r="K82" s="1925"/>
    </row>
    <row r="83" spans="1:11">
      <c r="B83" s="2320"/>
      <c r="C83" s="2320"/>
      <c r="D83" s="2320"/>
      <c r="E83" s="2320"/>
      <c r="F83" s="2320"/>
      <c r="G83" s="2320"/>
      <c r="H83" s="2320"/>
    </row>
    <row r="133" spans="11:11">
      <c r="K133" s="1924">
        <v>5</v>
      </c>
    </row>
  </sheetData>
  <mergeCells count="11">
    <mergeCell ref="A7:K7"/>
    <mergeCell ref="B68:H70"/>
    <mergeCell ref="B72:G73"/>
    <mergeCell ref="B75:F76"/>
    <mergeCell ref="B78:H80"/>
    <mergeCell ref="B81:H83"/>
    <mergeCell ref="P9:P10"/>
    <mergeCell ref="B33:B34"/>
    <mergeCell ref="E33:E34"/>
    <mergeCell ref="B56:H59"/>
    <mergeCell ref="B64:G66"/>
  </mergeCells>
  <pageMargins left="0.7" right="0.7" top="0.75" bottom="0.75" header="0.3" footer="0.3"/>
  <pageSetup scale="1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193"/>
  <sheetViews>
    <sheetView zoomScale="70" zoomScaleNormal="70" workbookViewId="0">
      <selection activeCell="K58" sqref="K58"/>
    </sheetView>
  </sheetViews>
  <sheetFormatPr defaultColWidth="11.81640625" defaultRowHeight="13"/>
  <cols>
    <col min="1" max="1" width="9" style="1964" customWidth="1"/>
    <col min="2" max="2" width="15" style="1965" bestFit="1" customWidth="1"/>
    <col min="3" max="3" width="4.1796875" style="1965" customWidth="1"/>
    <col min="4" max="4" width="21" style="1966" bestFit="1" customWidth="1"/>
    <col min="5" max="5" width="32.54296875" style="1965" customWidth="1"/>
    <col min="6" max="6" width="21.453125" style="1965" customWidth="1"/>
    <col min="7" max="7" width="19" style="1965" customWidth="1"/>
    <col min="8" max="8" width="19.81640625" style="1965" customWidth="1"/>
    <col min="9" max="10" width="16.1796875" style="1965" customWidth="1"/>
    <col min="11" max="11" width="19.7265625" style="1965" customWidth="1"/>
    <col min="12" max="12" width="16" style="1965" customWidth="1"/>
    <col min="13" max="13" width="19.1796875" style="1965" bestFit="1" customWidth="1"/>
    <col min="14" max="14" width="16.54296875" style="1944" bestFit="1" customWidth="1"/>
    <col min="15" max="15" width="15.26953125" style="1965" bestFit="1" customWidth="1"/>
    <col min="16" max="16384" width="11.81640625" style="1965"/>
  </cols>
  <sheetData>
    <row r="1" spans="1:16" ht="15.5">
      <c r="A1" s="1964" t="s">
        <v>1465</v>
      </c>
      <c r="K1" s="1967"/>
      <c r="M1" s="1968"/>
    </row>
    <row r="2" spans="1:16">
      <c r="A2" s="1964" t="s">
        <v>680</v>
      </c>
      <c r="K2" s="1969"/>
      <c r="M2" s="1970"/>
    </row>
    <row r="3" spans="1:16">
      <c r="A3" s="1964" t="s">
        <v>1464</v>
      </c>
      <c r="M3" s="1970"/>
    </row>
    <row r="4" spans="1:16">
      <c r="A4" s="1964" t="s">
        <v>1466</v>
      </c>
      <c r="M4" s="1968"/>
    </row>
    <row r="5" spans="1:16">
      <c r="A5" s="1964" t="s">
        <v>1462</v>
      </c>
    </row>
    <row r="6" spans="1:16">
      <c r="A6" s="1964" t="s">
        <v>1291</v>
      </c>
    </row>
    <row r="7" spans="1:16">
      <c r="A7" s="2330" t="s">
        <v>1461</v>
      </c>
      <c r="B7" s="2330"/>
      <c r="C7" s="2330"/>
      <c r="D7" s="2330"/>
      <c r="E7" s="2330"/>
      <c r="F7" s="2330"/>
      <c r="G7" s="2330"/>
      <c r="H7" s="2330"/>
      <c r="I7" s="2330"/>
      <c r="J7" s="2330"/>
      <c r="K7" s="2330"/>
      <c r="L7" s="1971"/>
      <c r="M7" s="1971"/>
    </row>
    <row r="9" spans="1:16">
      <c r="A9" s="1972" t="s">
        <v>287</v>
      </c>
      <c r="B9" s="1973" t="s">
        <v>288</v>
      </c>
      <c r="C9" s="1973"/>
      <c r="D9" s="1974" t="s">
        <v>289</v>
      </c>
      <c r="E9" s="1973" t="s">
        <v>290</v>
      </c>
      <c r="F9" s="1973" t="s">
        <v>291</v>
      </c>
      <c r="G9" s="1973" t="s">
        <v>1460</v>
      </c>
      <c r="H9" s="1973" t="s">
        <v>293</v>
      </c>
      <c r="I9" s="1973" t="s">
        <v>1459</v>
      </c>
      <c r="J9" s="1973" t="s">
        <v>295</v>
      </c>
      <c r="K9" s="1973" t="s">
        <v>1458</v>
      </c>
      <c r="L9" s="1973" t="s">
        <v>297</v>
      </c>
      <c r="M9" s="1973" t="s">
        <v>1457</v>
      </c>
      <c r="P9" s="2331"/>
    </row>
    <row r="10" spans="1:16">
      <c r="F10" s="1975"/>
      <c r="G10" s="1975"/>
      <c r="P10" s="2331"/>
    </row>
    <row r="11" spans="1:16" ht="26">
      <c r="A11" s="1964" t="s">
        <v>527</v>
      </c>
      <c r="B11" s="1965" t="s">
        <v>1456</v>
      </c>
      <c r="D11" s="1976" t="s">
        <v>1455</v>
      </c>
      <c r="E11" s="1973" t="s">
        <v>1454</v>
      </c>
      <c r="F11" s="1977" t="s">
        <v>1453</v>
      </c>
      <c r="G11" s="1977" t="s">
        <v>1452</v>
      </c>
      <c r="H11" s="1977" t="s">
        <v>1451</v>
      </c>
      <c r="I11" s="1965" t="s">
        <v>1450</v>
      </c>
      <c r="J11" s="1975" t="s">
        <v>1449</v>
      </c>
      <c r="K11" s="1977" t="s">
        <v>1448</v>
      </c>
      <c r="L11" s="1977" t="s">
        <v>1447</v>
      </c>
      <c r="M11" s="1977" t="s">
        <v>1446</v>
      </c>
    </row>
    <row r="12" spans="1:16">
      <c r="D12" s="1976"/>
      <c r="E12" s="1973"/>
      <c r="F12" s="1977"/>
      <c r="G12" s="1977"/>
      <c r="H12" s="1977"/>
      <c r="K12" s="1977"/>
      <c r="M12" s="1975"/>
    </row>
    <row r="13" spans="1:16">
      <c r="A13" s="1978" t="s">
        <v>1445</v>
      </c>
      <c r="D13" s="1976"/>
      <c r="E13" s="1973"/>
      <c r="F13" s="1977"/>
      <c r="G13" s="1977"/>
      <c r="H13" s="1977"/>
      <c r="K13" s="1977"/>
      <c r="M13" s="1975"/>
    </row>
    <row r="14" spans="1:16">
      <c r="D14" s="1979"/>
      <c r="E14" s="1944"/>
      <c r="F14" s="1942"/>
      <c r="G14" s="1942"/>
      <c r="H14" s="1942"/>
      <c r="I14" s="1942"/>
      <c r="J14" s="1942"/>
      <c r="K14" s="1942"/>
      <c r="L14" s="1944"/>
      <c r="M14" s="1944"/>
    </row>
    <row r="15" spans="1:16" ht="12.65" customHeight="1">
      <c r="A15" s="1980">
        <v>1</v>
      </c>
      <c r="B15" s="1947" t="s">
        <v>1467</v>
      </c>
      <c r="D15" s="1981" t="s">
        <v>1468</v>
      </c>
      <c r="E15" s="1982"/>
      <c r="F15" s="1982"/>
      <c r="G15" s="1983"/>
      <c r="H15" s="1983"/>
      <c r="I15" s="1984"/>
      <c r="J15" s="1984"/>
      <c r="K15" s="1984"/>
      <c r="M15" s="1944"/>
    </row>
    <row r="16" spans="1:16" ht="15.5">
      <c r="A16" s="1980">
        <f>+A15+1</f>
        <v>2</v>
      </c>
      <c r="B16" s="1947"/>
      <c r="D16" s="1985">
        <v>-4374117876</v>
      </c>
      <c r="E16" s="1986" t="s">
        <v>1469</v>
      </c>
      <c r="F16" s="1983"/>
      <c r="G16" s="1983"/>
      <c r="H16" s="1983"/>
      <c r="I16" s="1984"/>
      <c r="J16" s="1984"/>
      <c r="K16" s="1984"/>
      <c r="L16" s="1944"/>
      <c r="M16" s="1944"/>
    </row>
    <row r="17" spans="1:13" ht="15.5">
      <c r="A17" s="1980">
        <f>+A16+1</f>
        <v>3</v>
      </c>
      <c r="B17" s="1947"/>
      <c r="D17" s="1987">
        <v>0.96687599999999996</v>
      </c>
      <c r="E17" s="1988" t="s">
        <v>1470</v>
      </c>
      <c r="F17" s="1983"/>
      <c r="G17" s="1983"/>
      <c r="H17" s="1983"/>
      <c r="I17" s="1984"/>
      <c r="J17" s="1984"/>
      <c r="K17" s="1984"/>
      <c r="L17" s="1944"/>
      <c r="M17" s="1944"/>
    </row>
    <row r="18" spans="1:13" ht="15.5">
      <c r="A18" s="1980">
        <f t="shared" ref="A18:A63" si="0">+A17+1</f>
        <v>4</v>
      </c>
      <c r="B18" s="1947"/>
      <c r="D18" s="1989">
        <f>+D16*D17</f>
        <v>-4229229595.4753757</v>
      </c>
      <c r="E18" s="1986" t="s">
        <v>78</v>
      </c>
      <c r="F18" s="1983"/>
      <c r="G18" s="1983"/>
      <c r="H18" s="1983"/>
      <c r="I18" s="1984"/>
      <c r="J18" s="1984"/>
      <c r="K18" s="1984"/>
      <c r="L18" s="1944"/>
      <c r="M18" s="1944"/>
    </row>
    <row r="19" spans="1:13" ht="15.5">
      <c r="A19" s="1980">
        <f t="shared" si="0"/>
        <v>5</v>
      </c>
      <c r="B19" s="1947"/>
      <c r="D19" s="1990">
        <f>4/104</f>
        <v>3.8461538461538464E-2</v>
      </c>
      <c r="E19" s="1986" t="s">
        <v>1471</v>
      </c>
      <c r="F19" s="1983"/>
      <c r="G19" s="1983"/>
      <c r="H19" s="1983"/>
      <c r="I19" s="1984"/>
      <c r="J19" s="1984"/>
      <c r="K19" s="1984"/>
      <c r="L19" s="1944"/>
      <c r="M19" s="1944"/>
    </row>
    <row r="20" spans="1:13" ht="15.5">
      <c r="A20" s="1980">
        <f t="shared" si="0"/>
        <v>6</v>
      </c>
      <c r="B20" s="1947"/>
      <c r="D20" s="1985">
        <f>+D18*D19</f>
        <v>-162662676.74905291</v>
      </c>
      <c r="E20" s="1986" t="s">
        <v>1472</v>
      </c>
      <c r="F20" s="1983"/>
      <c r="G20" s="1983"/>
      <c r="H20" s="1983"/>
      <c r="I20" s="1984"/>
      <c r="J20" s="1984"/>
      <c r="K20" s="1984"/>
      <c r="L20" s="1944"/>
      <c r="M20" s="1944"/>
    </row>
    <row r="21" spans="1:13" ht="15.5">
      <c r="A21" s="1980">
        <f t="shared" si="0"/>
        <v>7</v>
      </c>
      <c r="B21" s="1947"/>
      <c r="D21" s="1986"/>
      <c r="E21" s="1986"/>
      <c r="F21" s="1983"/>
      <c r="G21" s="1983"/>
      <c r="H21" s="1983"/>
      <c r="I21" s="1984"/>
      <c r="J21" s="1984"/>
      <c r="K21" s="1984"/>
      <c r="L21" s="1944"/>
      <c r="M21" s="1944"/>
    </row>
    <row r="22" spans="1:13" ht="15.5">
      <c r="A22" s="1980">
        <f t="shared" si="0"/>
        <v>8</v>
      </c>
      <c r="B22" s="1947"/>
      <c r="D22" s="1985">
        <v>360788838</v>
      </c>
      <c r="E22" s="1986" t="s">
        <v>1473</v>
      </c>
      <c r="F22" s="1983"/>
      <c r="G22" s="1983"/>
      <c r="H22" s="1983"/>
      <c r="I22" s="1984"/>
      <c r="J22" s="1984"/>
      <c r="K22" s="1984"/>
      <c r="L22" s="1944"/>
      <c r="M22" s="1944"/>
    </row>
    <row r="23" spans="1:13" ht="15.5">
      <c r="A23" s="1980">
        <f t="shared" si="0"/>
        <v>9</v>
      </c>
      <c r="B23" s="1947"/>
      <c r="D23" s="1991">
        <v>733634678</v>
      </c>
      <c r="E23" s="1986" t="s">
        <v>1474</v>
      </c>
      <c r="F23" s="1983"/>
      <c r="G23" s="1983"/>
      <c r="H23" s="1983"/>
      <c r="I23" s="1984"/>
      <c r="J23" s="1984"/>
      <c r="K23" s="1984"/>
      <c r="L23" s="1944"/>
      <c r="M23" s="1944"/>
    </row>
    <row r="24" spans="1:13" ht="15.5">
      <c r="A24" s="1980">
        <f t="shared" si="0"/>
        <v>10</v>
      </c>
      <c r="B24" s="1947"/>
      <c r="D24" s="1985">
        <f>+D22+D23</f>
        <v>1094423516</v>
      </c>
      <c r="E24" s="1986" t="s">
        <v>1475</v>
      </c>
      <c r="F24" s="1983"/>
      <c r="G24" s="1983"/>
      <c r="H24" s="1983"/>
      <c r="I24" s="1984"/>
      <c r="J24" s="1984"/>
      <c r="K24" s="1984"/>
      <c r="L24" s="1944"/>
      <c r="M24" s="1944"/>
    </row>
    <row r="25" spans="1:13" ht="15.5">
      <c r="A25" s="1980">
        <f t="shared" si="0"/>
        <v>11</v>
      </c>
      <c r="B25" s="1947"/>
      <c r="D25" s="1992">
        <v>0.04</v>
      </c>
      <c r="E25" s="1986" t="s">
        <v>1471</v>
      </c>
      <c r="F25" s="1983"/>
      <c r="G25" s="1983"/>
      <c r="H25" s="1983"/>
      <c r="I25" s="1984"/>
      <c r="J25" s="1984"/>
      <c r="K25" s="1984"/>
      <c r="L25" s="1944"/>
      <c r="M25" s="1944"/>
    </row>
    <row r="26" spans="1:13" ht="15.5">
      <c r="A26" s="1980">
        <f t="shared" si="0"/>
        <v>12</v>
      </c>
      <c r="B26" s="1947"/>
      <c r="D26" s="1985">
        <f>+D24*D25</f>
        <v>43776940.640000001</v>
      </c>
      <c r="E26" s="1986" t="s">
        <v>1476</v>
      </c>
      <c r="F26" s="1983"/>
      <c r="G26" s="1983"/>
      <c r="H26" s="1983"/>
      <c r="I26" s="1984"/>
      <c r="J26" s="1984"/>
      <c r="K26" s="1984"/>
      <c r="L26" s="1944"/>
      <c r="M26" s="1944"/>
    </row>
    <row r="27" spans="1:13" ht="15.5">
      <c r="A27" s="1980">
        <f>+A26+1</f>
        <v>13</v>
      </c>
      <c r="B27" s="1947"/>
      <c r="D27" s="1986"/>
      <c r="E27" s="1986"/>
      <c r="F27" s="1983"/>
      <c r="G27" s="1983"/>
      <c r="H27" s="1983"/>
      <c r="I27" s="1984"/>
      <c r="J27" s="1984"/>
      <c r="K27" s="1984"/>
      <c r="L27" s="1944"/>
      <c r="M27" s="1944"/>
    </row>
    <row r="28" spans="1:13" ht="15.5">
      <c r="A28" s="1980">
        <f>+A27+1</f>
        <v>14</v>
      </c>
      <c r="B28" s="1947"/>
      <c r="D28" s="1985">
        <v>-39353892</v>
      </c>
      <c r="E28" s="1986" t="s">
        <v>1477</v>
      </c>
      <c r="F28" s="1983"/>
      <c r="G28" s="1983"/>
      <c r="H28" s="1983"/>
      <c r="I28" s="1984"/>
      <c r="J28" s="1984"/>
      <c r="K28" s="1984"/>
      <c r="L28" s="1944"/>
      <c r="M28" s="1944"/>
    </row>
    <row r="29" spans="1:13" ht="15.5">
      <c r="A29" s="1980">
        <f t="shared" ref="A29:A62" si="1">+A28+1</f>
        <v>15</v>
      </c>
      <c r="B29" s="1947"/>
      <c r="D29" s="1987">
        <f>+D17</f>
        <v>0.96687599999999996</v>
      </c>
      <c r="E29" s="1988" t="s">
        <v>1478</v>
      </c>
      <c r="F29" s="1983"/>
      <c r="G29" s="1983"/>
      <c r="H29" s="1983"/>
      <c r="I29" s="1984"/>
      <c r="J29" s="1984"/>
      <c r="K29" s="1984"/>
      <c r="L29" s="1944"/>
      <c r="M29" s="1944"/>
    </row>
    <row r="30" spans="1:13" ht="15.5">
      <c r="A30" s="1980">
        <f t="shared" si="1"/>
        <v>16</v>
      </c>
      <c r="B30" s="1947"/>
      <c r="D30" s="1989">
        <f>+D28*D29</f>
        <v>-38050333.681391999</v>
      </c>
      <c r="E30" s="1986" t="s">
        <v>1479</v>
      </c>
      <c r="F30" s="1983"/>
      <c r="G30" s="1983"/>
      <c r="H30" s="1983"/>
      <c r="I30" s="1984"/>
      <c r="J30" s="1984"/>
      <c r="K30" s="1984"/>
      <c r="L30" s="1944"/>
      <c r="M30" s="1944"/>
    </row>
    <row r="31" spans="1:13" ht="15.5">
      <c r="A31" s="1980">
        <f t="shared" si="1"/>
        <v>17</v>
      </c>
      <c r="B31" s="1947"/>
      <c r="D31" s="1990">
        <f>+D19</f>
        <v>3.8461538461538464E-2</v>
      </c>
      <c r="E31" s="1986" t="s">
        <v>1471</v>
      </c>
      <c r="F31" s="1983"/>
      <c r="G31" s="1983"/>
      <c r="H31" s="1983"/>
      <c r="I31" s="1984"/>
      <c r="J31" s="1984"/>
      <c r="K31" s="1984"/>
      <c r="L31" s="1944"/>
      <c r="M31" s="1944"/>
    </row>
    <row r="32" spans="1:13" ht="15.5">
      <c r="A32" s="1980">
        <f t="shared" si="1"/>
        <v>18</v>
      </c>
      <c r="B32" s="1947"/>
      <c r="D32" s="1985">
        <f>+D30*D31</f>
        <v>-1463474.3723612309</v>
      </c>
      <c r="E32" s="1986" t="s">
        <v>1472</v>
      </c>
      <c r="F32" s="1983"/>
      <c r="G32" s="1983"/>
      <c r="H32" s="1983"/>
      <c r="I32" s="1984"/>
      <c r="J32" s="1984"/>
      <c r="K32" s="1984"/>
      <c r="L32" s="1944"/>
      <c r="M32" s="1944"/>
    </row>
    <row r="33" spans="1:13" ht="15.5">
      <c r="A33" s="1980">
        <f t="shared" si="1"/>
        <v>19</v>
      </c>
      <c r="B33" s="1947"/>
      <c r="D33" s="1993"/>
      <c r="E33" s="1986"/>
      <c r="F33" s="1983"/>
      <c r="G33" s="1983"/>
      <c r="H33" s="1983"/>
      <c r="I33" s="1984"/>
      <c r="J33" s="1984"/>
      <c r="K33" s="1984"/>
      <c r="L33" s="1944"/>
      <c r="M33" s="1944"/>
    </row>
    <row r="34" spans="1:13" ht="15.5">
      <c r="A34" s="1980">
        <f t="shared" si="1"/>
        <v>20</v>
      </c>
      <c r="B34" s="1947"/>
      <c r="D34" s="1993"/>
      <c r="E34" s="1986"/>
      <c r="F34" s="1983"/>
      <c r="G34" s="1983"/>
      <c r="H34" s="1983"/>
      <c r="I34" s="1984"/>
      <c r="J34" s="1984"/>
      <c r="K34" s="1984"/>
      <c r="L34" s="1944"/>
      <c r="M34" s="1944"/>
    </row>
    <row r="35" spans="1:13" ht="15.5">
      <c r="A35" s="1980">
        <f t="shared" si="1"/>
        <v>21</v>
      </c>
      <c r="B35" s="1947"/>
      <c r="D35" s="1981" t="s">
        <v>1480</v>
      </c>
      <c r="E35" s="1986"/>
      <c r="F35" s="1983"/>
      <c r="G35" s="1983"/>
      <c r="H35" s="1983"/>
      <c r="I35" s="1984"/>
      <c r="J35" s="1984"/>
      <c r="K35" s="1984"/>
      <c r="L35" s="1944"/>
      <c r="M35" s="1944"/>
    </row>
    <row r="36" spans="1:13" ht="15.5">
      <c r="A36" s="1980">
        <f t="shared" si="1"/>
        <v>22</v>
      </c>
      <c r="B36" s="1947"/>
      <c r="D36" s="1985">
        <f>+D16</f>
        <v>-4374117876</v>
      </c>
      <c r="E36" s="1986" t="s">
        <v>1481</v>
      </c>
      <c r="F36" s="1983"/>
      <c r="G36" s="1983"/>
      <c r="H36" s="1983"/>
      <c r="I36" s="1984"/>
      <c r="J36" s="1984"/>
      <c r="K36" s="1984"/>
      <c r="L36" s="1944"/>
      <c r="M36" s="1944"/>
    </row>
    <row r="37" spans="1:13" ht="15.5">
      <c r="A37" s="1980">
        <f t="shared" si="1"/>
        <v>23</v>
      </c>
      <c r="B37" s="1947"/>
      <c r="D37" s="1994">
        <f>+D17</f>
        <v>0.96687599999999996</v>
      </c>
      <c r="E37" s="1988" t="s">
        <v>1478</v>
      </c>
      <c r="F37" s="1983"/>
      <c r="G37" s="1983" t="s">
        <v>1482</v>
      </c>
      <c r="H37" s="1983"/>
      <c r="I37" s="1984"/>
      <c r="J37" s="1984"/>
      <c r="K37" s="1984"/>
      <c r="L37" s="1944"/>
      <c r="M37" s="1944"/>
    </row>
    <row r="38" spans="1:13" ht="15.5">
      <c r="A38" s="1980">
        <f t="shared" si="1"/>
        <v>24</v>
      </c>
      <c r="B38" s="1947"/>
      <c r="D38" s="1985">
        <f>+D36*D37</f>
        <v>-4229229595.4753757</v>
      </c>
      <c r="E38" s="1986" t="s">
        <v>1479</v>
      </c>
      <c r="F38" s="1983"/>
      <c r="G38" s="1983"/>
      <c r="H38" s="1983"/>
      <c r="I38" s="1984"/>
      <c r="J38" s="1984"/>
      <c r="K38" s="1984"/>
      <c r="L38" s="1944"/>
      <c r="M38" s="1944"/>
    </row>
    <row r="39" spans="1:13" ht="15.5">
      <c r="A39" s="1980">
        <f t="shared" si="1"/>
        <v>25</v>
      </c>
      <c r="B39" s="1947"/>
      <c r="D39" s="1995">
        <v>5.6603773584905662E-2</v>
      </c>
      <c r="E39" s="1986" t="s">
        <v>1471</v>
      </c>
      <c r="F39" s="1983"/>
      <c r="G39" s="1983"/>
      <c r="H39" s="1983"/>
      <c r="I39" s="1984"/>
      <c r="J39" s="1984"/>
      <c r="K39" s="1984"/>
      <c r="L39" s="1944"/>
      <c r="M39" s="1944"/>
    </row>
    <row r="40" spans="1:13" ht="14.5">
      <c r="A40" s="1980">
        <f t="shared" si="1"/>
        <v>26</v>
      </c>
      <c r="B40" s="1947"/>
      <c r="D40" s="1985">
        <f>+D38*D39</f>
        <v>-239390354.46087033</v>
      </c>
      <c r="E40" s="1986" t="s">
        <v>1483</v>
      </c>
      <c r="F40" s="1985"/>
      <c r="G40" s="1982"/>
      <c r="H40" s="1982"/>
      <c r="I40" s="1996"/>
      <c r="J40" s="1996"/>
      <c r="K40" s="1996"/>
      <c r="L40" s="1944"/>
      <c r="M40" s="1944"/>
    </row>
    <row r="41" spans="1:13" ht="15.5">
      <c r="A41" s="1980">
        <f t="shared" si="1"/>
        <v>27</v>
      </c>
      <c r="B41" s="1947"/>
      <c r="D41" s="1993"/>
      <c r="E41" s="1986"/>
      <c r="F41" s="1983"/>
      <c r="G41" s="1983"/>
      <c r="H41" s="1983"/>
      <c r="I41" s="1984"/>
      <c r="J41" s="1984"/>
      <c r="K41" s="1984"/>
      <c r="L41" s="1944"/>
      <c r="M41" s="1944"/>
    </row>
    <row r="42" spans="1:13" ht="15.5">
      <c r="A42" s="1980">
        <f t="shared" si="1"/>
        <v>28</v>
      </c>
      <c r="B42" s="1947"/>
      <c r="D42" s="1985">
        <f>+D22</f>
        <v>360788838</v>
      </c>
      <c r="E42" s="1986" t="s">
        <v>1473</v>
      </c>
      <c r="F42" s="1983"/>
      <c r="G42" s="1983"/>
      <c r="H42" s="1983"/>
      <c r="I42" s="1984"/>
      <c r="J42" s="1984"/>
      <c r="K42" s="1984"/>
      <c r="L42" s="1944"/>
      <c r="M42" s="1944"/>
    </row>
    <row r="43" spans="1:13" ht="15.5">
      <c r="A43" s="1980">
        <f t="shared" si="1"/>
        <v>29</v>
      </c>
      <c r="B43" s="1947"/>
      <c r="D43" s="1991">
        <f>+D23</f>
        <v>733634678</v>
      </c>
      <c r="E43" s="1986" t="s">
        <v>1484</v>
      </c>
      <c r="F43" s="1983"/>
      <c r="G43" s="1983"/>
      <c r="H43" s="1983"/>
      <c r="I43" s="1984"/>
      <c r="J43" s="1984"/>
      <c r="K43" s="1984"/>
      <c r="L43" s="1944"/>
      <c r="M43" s="1944"/>
    </row>
    <row r="44" spans="1:13" ht="15.5">
      <c r="A44" s="1980">
        <f t="shared" si="1"/>
        <v>30</v>
      </c>
      <c r="B44" s="1947"/>
      <c r="D44" s="1985">
        <f>+D42+D43</f>
        <v>1094423516</v>
      </c>
      <c r="E44" s="1986" t="s">
        <v>1475</v>
      </c>
      <c r="F44" s="1983"/>
      <c r="G44" s="1983"/>
      <c r="H44" s="1983"/>
      <c r="I44" s="1984"/>
      <c r="J44" s="1984"/>
      <c r="K44" s="1984"/>
      <c r="L44" s="1944"/>
      <c r="M44" s="1944"/>
    </row>
    <row r="45" spans="1:13" ht="15.5">
      <c r="A45" s="1980">
        <f t="shared" si="1"/>
        <v>31</v>
      </c>
      <c r="B45" s="1947"/>
      <c r="D45" s="1992">
        <v>0.06</v>
      </c>
      <c r="E45" s="1986" t="s">
        <v>1471</v>
      </c>
      <c r="F45" s="1983"/>
      <c r="G45" s="1983"/>
      <c r="H45" s="1983"/>
      <c r="I45" s="1984"/>
      <c r="J45" s="1984"/>
      <c r="K45" s="1984"/>
      <c r="L45" s="1944"/>
      <c r="M45" s="1944"/>
    </row>
    <row r="46" spans="1:13" ht="15.5">
      <c r="A46" s="1980">
        <f t="shared" si="1"/>
        <v>32</v>
      </c>
      <c r="B46" s="1947"/>
      <c r="D46" s="1985">
        <f>+D44*D45</f>
        <v>65665410.960000001</v>
      </c>
      <c r="E46" s="1986" t="s">
        <v>1476</v>
      </c>
      <c r="F46" s="1983"/>
      <c r="G46" s="1983"/>
      <c r="H46" s="1983"/>
      <c r="I46" s="1984"/>
      <c r="J46" s="1984"/>
      <c r="K46" s="1984"/>
      <c r="L46" s="1944"/>
      <c r="M46" s="1944"/>
    </row>
    <row r="47" spans="1:13" ht="15.5">
      <c r="A47" s="1980">
        <f t="shared" si="1"/>
        <v>33</v>
      </c>
      <c r="B47" s="1947"/>
      <c r="D47" s="1993"/>
      <c r="E47" s="1997">
        <f>+D32-D52</f>
        <v>690318.10017039184</v>
      </c>
      <c r="F47" s="1983"/>
      <c r="G47" s="1983"/>
      <c r="H47" s="1983"/>
      <c r="I47" s="1984"/>
      <c r="J47" s="1984"/>
      <c r="K47" s="1984"/>
      <c r="L47" s="1944"/>
      <c r="M47" s="1944"/>
    </row>
    <row r="48" spans="1:13" ht="15.5">
      <c r="A48" s="1980">
        <f t="shared" si="1"/>
        <v>34</v>
      </c>
      <c r="B48" s="1947"/>
      <c r="D48" s="1985">
        <f>+D28</f>
        <v>-39353892</v>
      </c>
      <c r="E48" s="1986" t="s">
        <v>1477</v>
      </c>
      <c r="F48" s="1983"/>
      <c r="G48" s="1983"/>
      <c r="H48" s="1983"/>
      <c r="I48" s="1984"/>
      <c r="J48" s="1984"/>
      <c r="K48" s="1984"/>
      <c r="L48" s="1944"/>
      <c r="M48" s="1944"/>
    </row>
    <row r="49" spans="1:13" ht="14.5">
      <c r="A49" s="1980">
        <f t="shared" si="1"/>
        <v>35</v>
      </c>
      <c r="B49" s="1947"/>
      <c r="D49" s="1987">
        <f>+D37</f>
        <v>0.96687599999999996</v>
      </c>
      <c r="E49" s="1988" t="s">
        <v>1478</v>
      </c>
      <c r="F49" s="1996"/>
      <c r="G49" s="1996"/>
      <c r="H49" s="1996"/>
      <c r="I49" s="1996"/>
      <c r="J49" s="1996"/>
      <c r="K49" s="1996"/>
      <c r="L49" s="1944"/>
      <c r="M49" s="1944"/>
    </row>
    <row r="50" spans="1:13" ht="14.5">
      <c r="A50" s="1980">
        <f t="shared" si="1"/>
        <v>36</v>
      </c>
      <c r="B50" s="1947"/>
      <c r="D50" s="1989">
        <f>+D48*D49</f>
        <v>-38050333.681391999</v>
      </c>
      <c r="E50" s="1986" t="s">
        <v>1479</v>
      </c>
      <c r="F50" s="1942"/>
      <c r="G50" s="1982"/>
      <c r="H50" s="1982"/>
      <c r="I50" s="1996"/>
      <c r="J50" s="1996"/>
      <c r="K50" s="1996"/>
      <c r="L50" s="1944"/>
      <c r="M50" s="1944"/>
    </row>
    <row r="51" spans="1:13" ht="14.5">
      <c r="A51" s="1980">
        <f t="shared" si="1"/>
        <v>37</v>
      </c>
      <c r="B51" s="1947"/>
      <c r="D51" s="1990">
        <f>+D39</f>
        <v>5.6603773584905662E-2</v>
      </c>
      <c r="E51" s="1986" t="s">
        <v>1471</v>
      </c>
      <c r="G51" s="1982"/>
      <c r="H51" s="1982"/>
      <c r="I51" s="1996"/>
      <c r="J51" s="1996"/>
      <c r="K51" s="1996"/>
      <c r="L51" s="1944"/>
      <c r="M51" s="1944"/>
    </row>
    <row r="52" spans="1:13" ht="15.5">
      <c r="A52" s="1980">
        <f t="shared" si="1"/>
        <v>38</v>
      </c>
      <c r="B52" s="1947"/>
      <c r="D52" s="1985">
        <f>+D50*D51</f>
        <v>-2153792.4725316227</v>
      </c>
      <c r="E52" s="1986" t="s">
        <v>1472</v>
      </c>
      <c r="F52" s="1998"/>
      <c r="G52" s="1982"/>
      <c r="H52" s="1982"/>
      <c r="I52" s="1996"/>
      <c r="J52" s="1996"/>
      <c r="K52" s="1996"/>
      <c r="L52" s="1944"/>
      <c r="M52" s="1944"/>
    </row>
    <row r="53" spans="1:13" ht="15.5">
      <c r="A53" s="1980">
        <f t="shared" si="1"/>
        <v>39</v>
      </c>
      <c r="B53" s="1947"/>
      <c r="D53" s="1993"/>
      <c r="E53" s="1999"/>
      <c r="F53" s="1998"/>
      <c r="G53" s="1982"/>
      <c r="H53" s="1982"/>
      <c r="I53" s="1996"/>
      <c r="J53" s="1996"/>
      <c r="K53" s="1996"/>
      <c r="L53" s="1944"/>
      <c r="M53" s="1944"/>
    </row>
    <row r="54" spans="1:13" ht="15.5">
      <c r="A54" s="1980">
        <f t="shared" si="1"/>
        <v>40</v>
      </c>
      <c r="B54" s="1947"/>
      <c r="D54" s="1981" t="s">
        <v>1485</v>
      </c>
      <c r="E54" s="1986"/>
      <c r="F54" s="1998"/>
      <c r="G54" s="1982"/>
      <c r="H54" s="1982"/>
      <c r="I54" s="1996"/>
      <c r="J54" s="1996"/>
      <c r="K54" s="1996"/>
      <c r="L54" s="1944"/>
      <c r="M54" s="1944"/>
    </row>
    <row r="55" spans="1:13" ht="43.5">
      <c r="A55" s="1980">
        <f t="shared" si="1"/>
        <v>41</v>
      </c>
      <c r="B55" s="1947"/>
      <c r="D55" s="2000">
        <f>-(+D20-D40-(D32-D52))</f>
        <v>-76037359.611647025</v>
      </c>
      <c r="E55" s="2001" t="s">
        <v>1486</v>
      </c>
      <c r="F55" s="2002">
        <f>+D55</f>
        <v>-76037359.611647025</v>
      </c>
      <c r="G55" s="2003">
        <f>+F55/D40</f>
        <v>0.31762917007617258</v>
      </c>
      <c r="H55" s="1982">
        <v>0</v>
      </c>
      <c r="I55" s="1965">
        <f>+F55+H55</f>
        <v>-76037359.611647025</v>
      </c>
      <c r="K55" s="1984">
        <f>+I55+J55</f>
        <v>-76037359.611647025</v>
      </c>
      <c r="L55" s="1996" t="s">
        <v>871</v>
      </c>
      <c r="M55" s="1996">
        <f>+D40-K55</f>
        <v>-163352994.84922332</v>
      </c>
    </row>
    <row r="56" spans="1:13" ht="15.5">
      <c r="A56" s="1980">
        <f>+A55+1</f>
        <v>42</v>
      </c>
      <c r="B56" s="1947"/>
      <c r="D56" s="2004">
        <f>+D46-D26</f>
        <v>21888470.32</v>
      </c>
      <c r="E56" s="1986" t="s">
        <v>1487</v>
      </c>
      <c r="F56" s="2002">
        <f>+D56</f>
        <v>21888470.32</v>
      </c>
      <c r="G56" s="2003">
        <f>+F56/D46</f>
        <v>0.33333333333333331</v>
      </c>
      <c r="H56" s="1982">
        <v>0</v>
      </c>
      <c r="I56" s="1965">
        <f>+F56+H56</f>
        <v>21888470.32</v>
      </c>
      <c r="K56" s="1984">
        <f>+I56+J56</f>
        <v>21888470.32</v>
      </c>
      <c r="L56" s="1996" t="s">
        <v>871</v>
      </c>
      <c r="M56" s="1996">
        <f>+D46-K56</f>
        <v>43776940.640000001</v>
      </c>
    </row>
    <row r="57" spans="1:13" ht="15.5">
      <c r="A57" s="1980">
        <f t="shared" si="1"/>
        <v>43</v>
      </c>
      <c r="B57" s="1947"/>
      <c r="D57" s="1985">
        <f>SUM(D55:D56)</f>
        <v>-54148889.291647024</v>
      </c>
      <c r="E57" s="1986" t="s">
        <v>1479</v>
      </c>
      <c r="F57" s="2005"/>
      <c r="G57" s="1982"/>
      <c r="H57" s="1982"/>
      <c r="K57" s="1984"/>
      <c r="L57" s="1982"/>
      <c r="M57" s="1982"/>
    </row>
    <row r="58" spans="1:13" ht="15.5">
      <c r="A58" s="1980">
        <f t="shared" si="1"/>
        <v>44</v>
      </c>
      <c r="B58" s="1947"/>
      <c r="D58" s="2004">
        <f t="shared" ref="D58" si="2">-D57*0.21</f>
        <v>11371266.751245875</v>
      </c>
      <c r="E58" s="1986" t="s">
        <v>1488</v>
      </c>
      <c r="F58" s="2006">
        <f>+D58</f>
        <v>11371266.751245875</v>
      </c>
      <c r="G58" s="2003">
        <f>+F58/D57</f>
        <v>-0.21</v>
      </c>
      <c r="H58" s="1982">
        <v>0</v>
      </c>
      <c r="I58" s="1965">
        <f>+F58+H58</f>
        <v>11371266.751245875</v>
      </c>
      <c r="K58" s="1984">
        <f>+I58+J58</f>
        <v>11371266.751245875</v>
      </c>
      <c r="L58" s="1996" t="s">
        <v>871</v>
      </c>
      <c r="M58" s="1996">
        <f>+K58</f>
        <v>11371266.751245875</v>
      </c>
    </row>
    <row r="59" spans="1:13" ht="29">
      <c r="A59" s="1980">
        <f t="shared" si="1"/>
        <v>45</v>
      </c>
      <c r="B59" s="1947"/>
      <c r="D59" s="1985">
        <f t="shared" ref="D59" si="3">SUM(D57:D58)</f>
        <v>-42777622.540401146</v>
      </c>
      <c r="E59" s="2001" t="s">
        <v>1489</v>
      </c>
      <c r="F59" s="2007"/>
      <c r="G59" s="1982"/>
      <c r="H59" s="1982"/>
      <c r="I59" s="1996"/>
      <c r="J59" s="1996"/>
      <c r="K59" s="2008"/>
      <c r="L59" s="1944"/>
      <c r="M59" s="1944"/>
    </row>
    <row r="60" spans="1:13">
      <c r="A60" s="1980">
        <f t="shared" si="1"/>
        <v>46</v>
      </c>
      <c r="B60" s="1947"/>
      <c r="D60" s="1979"/>
      <c r="F60" s="1942"/>
      <c r="G60" s="2009"/>
      <c r="H60" s="1942"/>
      <c r="I60" s="1942"/>
      <c r="J60" s="1942"/>
      <c r="K60" s="1942"/>
      <c r="L60" s="1944"/>
      <c r="M60" s="1944"/>
    </row>
    <row r="61" spans="1:13">
      <c r="A61" s="1980">
        <f t="shared" si="1"/>
        <v>47</v>
      </c>
      <c r="B61" s="1947"/>
      <c r="D61" s="1979"/>
      <c r="F61" s="1942"/>
      <c r="G61" s="2009"/>
      <c r="H61" s="1942"/>
      <c r="I61" s="1942"/>
      <c r="J61" s="1942"/>
      <c r="K61" s="1942"/>
      <c r="L61" s="1944"/>
      <c r="M61" s="1944"/>
    </row>
    <row r="62" spans="1:13">
      <c r="A62" s="1980">
        <f t="shared" si="1"/>
        <v>48</v>
      </c>
      <c r="E62" s="1944"/>
      <c r="F62" s="1942"/>
      <c r="G62" s="2010"/>
      <c r="H62" s="1942"/>
      <c r="I62" s="1942"/>
      <c r="J62" s="1942"/>
      <c r="K62" s="1942"/>
      <c r="L62" s="1944"/>
      <c r="M62" s="1944"/>
    </row>
    <row r="63" spans="1:13">
      <c r="A63" s="1980">
        <f t="shared" si="0"/>
        <v>49</v>
      </c>
      <c r="B63" s="1965" t="s">
        <v>258</v>
      </c>
      <c r="D63" s="2011">
        <f>+D40+D46</f>
        <v>-173724943.50087032</v>
      </c>
      <c r="E63" s="1944" t="s">
        <v>1490</v>
      </c>
      <c r="F63" s="1935">
        <f>SUM(F55:F61)</f>
        <v>-42777622.540401146</v>
      </c>
      <c r="G63" s="2012"/>
      <c r="H63" s="1935">
        <f>+H55+H56+H58</f>
        <v>0</v>
      </c>
      <c r="I63" s="1935">
        <f>+I55+I56+I58</f>
        <v>-42777622.540401146</v>
      </c>
      <c r="J63" s="1935">
        <f>+J55+J56+J58</f>
        <v>0</v>
      </c>
      <c r="K63" s="1935">
        <f>+K55+K56+K58</f>
        <v>-42777622.540401146</v>
      </c>
      <c r="L63" s="1944"/>
      <c r="M63" s="1935">
        <f>-M58+M56+M55</f>
        <v>-130947320.96046919</v>
      </c>
    </row>
    <row r="64" spans="1:13">
      <c r="A64" s="1980"/>
      <c r="D64" s="1979"/>
      <c r="E64" s="2013"/>
      <c r="F64" s="1943"/>
      <c r="G64" s="2009"/>
      <c r="H64" s="1942"/>
      <c r="I64" s="1942"/>
      <c r="J64" s="1942"/>
      <c r="K64" s="1942"/>
      <c r="L64" s="1944"/>
      <c r="M64" s="1944"/>
    </row>
    <row r="65" spans="1:15">
      <c r="A65" s="2014" t="s">
        <v>1431</v>
      </c>
      <c r="D65" s="2015"/>
      <c r="E65" s="1944"/>
      <c r="F65" s="1943"/>
      <c r="G65" s="2009"/>
      <c r="H65" s="1942"/>
      <c r="I65" s="1942"/>
      <c r="J65" s="1942"/>
      <c r="K65" s="1942"/>
      <c r="L65" s="1944"/>
      <c r="M65" s="2016"/>
      <c r="O65" s="1944"/>
    </row>
    <row r="66" spans="1:15" ht="15.5">
      <c r="A66" s="1980"/>
      <c r="F66" s="1946"/>
      <c r="G66" s="2009"/>
      <c r="H66" s="1998"/>
      <c r="I66" s="1942"/>
      <c r="J66" s="1942"/>
      <c r="K66" s="1942"/>
      <c r="M66" s="2016"/>
      <c r="O66" s="1944"/>
    </row>
    <row r="67" spans="1:15" ht="15.5">
      <c r="A67" s="1980">
        <f>+A63+1</f>
        <v>50</v>
      </c>
      <c r="D67" s="1981" t="s">
        <v>1468</v>
      </c>
      <c r="E67" s="1982"/>
      <c r="F67" s="1982"/>
      <c r="G67" s="1983"/>
      <c r="H67" s="1983"/>
      <c r="I67" s="1984"/>
      <c r="J67" s="1984"/>
      <c r="K67" s="1984"/>
      <c r="M67" s="1944"/>
      <c r="O67" s="1944"/>
    </row>
    <row r="68" spans="1:15" ht="15.5">
      <c r="A68" s="1980">
        <f>+A67+1</f>
        <v>51</v>
      </c>
      <c r="D68" s="1985">
        <v>-660239302</v>
      </c>
      <c r="E68" s="1986" t="s">
        <v>1469</v>
      </c>
      <c r="F68" s="1983"/>
      <c r="G68" s="1983"/>
      <c r="H68" s="1983"/>
      <c r="I68" s="1984"/>
      <c r="J68" s="1984"/>
      <c r="K68" s="1984"/>
      <c r="L68" s="1944"/>
      <c r="M68" s="1944"/>
      <c r="O68" s="1944"/>
    </row>
    <row r="69" spans="1:15" ht="15.5">
      <c r="A69" s="1980">
        <f t="shared" ref="A69:A111" si="4">+A68+1</f>
        <v>52</v>
      </c>
      <c r="D69" s="1987">
        <v>0.96687599999999996</v>
      </c>
      <c r="E69" s="1988" t="s">
        <v>1470</v>
      </c>
      <c r="F69" s="1983"/>
      <c r="G69" s="1983"/>
      <c r="H69" s="1983"/>
      <c r="I69" s="1984"/>
      <c r="J69" s="1984"/>
      <c r="K69" s="1984"/>
      <c r="L69" s="1944"/>
      <c r="M69" s="1944"/>
      <c r="O69" s="1944"/>
    </row>
    <row r="70" spans="1:15" ht="15.5">
      <c r="A70" s="1980">
        <f t="shared" si="4"/>
        <v>53</v>
      </c>
      <c r="D70" s="1989">
        <f>+D68*D69</f>
        <v>-638369535.36055195</v>
      </c>
      <c r="E70" s="1986" t="s">
        <v>78</v>
      </c>
      <c r="F70" s="1983"/>
      <c r="G70" s="1983"/>
      <c r="H70" s="1983"/>
      <c r="I70" s="1984"/>
      <c r="J70" s="1984"/>
      <c r="K70" s="1984"/>
      <c r="L70" s="1944"/>
      <c r="M70" s="1944"/>
      <c r="O70" s="1944"/>
    </row>
    <row r="71" spans="1:15" ht="15.5">
      <c r="A71" s="1980">
        <f t="shared" si="4"/>
        <v>54</v>
      </c>
      <c r="D71" s="1990">
        <f>4/104</f>
        <v>3.8461538461538464E-2</v>
      </c>
      <c r="E71" s="1986" t="s">
        <v>1471</v>
      </c>
      <c r="F71" s="1983"/>
      <c r="G71" s="1983"/>
      <c r="H71" s="1983"/>
      <c r="I71" s="1984"/>
      <c r="J71" s="1984"/>
      <c r="K71" s="1984"/>
      <c r="L71" s="1944"/>
      <c r="M71" s="1944"/>
      <c r="O71" s="1944"/>
    </row>
    <row r="72" spans="1:15" ht="15.5">
      <c r="A72" s="1980">
        <f t="shared" si="4"/>
        <v>55</v>
      </c>
      <c r="D72" s="1985">
        <f>+D70*D71</f>
        <v>-24552674.436944306</v>
      </c>
      <c r="E72" s="1986" t="s">
        <v>1472</v>
      </c>
      <c r="F72" s="1983"/>
      <c r="G72" s="1983"/>
      <c r="H72" s="1983"/>
      <c r="I72" s="1984"/>
      <c r="J72" s="1984"/>
      <c r="K72" s="1984"/>
      <c r="L72" s="1944"/>
      <c r="M72" s="1944"/>
      <c r="O72" s="1944"/>
    </row>
    <row r="73" spans="1:15" ht="15.5">
      <c r="A73" s="1980">
        <f t="shared" si="4"/>
        <v>56</v>
      </c>
      <c r="D73" s="1986"/>
      <c r="E73" s="1986"/>
      <c r="F73" s="1983"/>
      <c r="G73" s="1983"/>
      <c r="H73" s="1983"/>
      <c r="I73" s="1984"/>
      <c r="J73" s="1984"/>
      <c r="K73" s="1984"/>
      <c r="L73" s="1944"/>
      <c r="M73" s="1944"/>
      <c r="O73" s="1944"/>
    </row>
    <row r="74" spans="1:15" ht="15.5">
      <c r="A74" s="1980">
        <f t="shared" si="4"/>
        <v>57</v>
      </c>
      <c r="D74" s="1985">
        <v>0</v>
      </c>
      <c r="E74" s="1986" t="s">
        <v>1473</v>
      </c>
      <c r="F74" s="1983"/>
      <c r="G74" s="1983"/>
      <c r="H74" s="1983"/>
      <c r="I74" s="1984"/>
      <c r="J74" s="1984"/>
      <c r="K74" s="1984"/>
      <c r="L74" s="1944"/>
      <c r="M74" s="1944"/>
      <c r="O74" s="1944"/>
    </row>
    <row r="75" spans="1:15" ht="15.5">
      <c r="A75" s="1980">
        <f t="shared" si="4"/>
        <v>58</v>
      </c>
      <c r="D75" s="1991">
        <v>0</v>
      </c>
      <c r="E75" s="1986" t="s">
        <v>1474</v>
      </c>
      <c r="F75" s="1983"/>
      <c r="G75" s="1983"/>
      <c r="H75" s="1983"/>
      <c r="I75" s="1984"/>
      <c r="J75" s="1984"/>
      <c r="K75" s="1984"/>
      <c r="L75" s="1944"/>
      <c r="M75" s="1944"/>
      <c r="O75" s="1944"/>
    </row>
    <row r="76" spans="1:15" ht="15.5">
      <c r="A76" s="1980">
        <f t="shared" si="4"/>
        <v>59</v>
      </c>
      <c r="D76" s="1985">
        <f>+D74+D75</f>
        <v>0</v>
      </c>
      <c r="E76" s="1986" t="s">
        <v>1475</v>
      </c>
      <c r="F76" s="1983"/>
      <c r="G76" s="1983"/>
      <c r="H76" s="1983"/>
      <c r="I76" s="1984"/>
      <c r="J76" s="1984"/>
      <c r="K76" s="1984"/>
      <c r="L76" s="1944"/>
      <c r="M76" s="1944"/>
      <c r="O76" s="1944"/>
    </row>
    <row r="77" spans="1:15" ht="15.5">
      <c r="A77" s="1980">
        <f t="shared" si="4"/>
        <v>60</v>
      </c>
      <c r="D77" s="1992">
        <v>0.04</v>
      </c>
      <c r="E77" s="1986" t="s">
        <v>1471</v>
      </c>
      <c r="F77" s="1983"/>
      <c r="G77" s="1983"/>
      <c r="H77" s="1983"/>
      <c r="I77" s="1984"/>
      <c r="J77" s="1984"/>
      <c r="K77" s="1984"/>
      <c r="L77" s="1944"/>
      <c r="M77" s="1944"/>
      <c r="O77" s="1944"/>
    </row>
    <row r="78" spans="1:15" ht="15.5">
      <c r="A78" s="1980">
        <f t="shared" si="4"/>
        <v>61</v>
      </c>
      <c r="D78" s="1985">
        <f>+D76*D77</f>
        <v>0</v>
      </c>
      <c r="E78" s="1986" t="s">
        <v>1476</v>
      </c>
      <c r="F78" s="1983"/>
      <c r="G78" s="1983"/>
      <c r="H78" s="1983"/>
      <c r="I78" s="1984"/>
      <c r="J78" s="1984"/>
      <c r="K78" s="1984"/>
      <c r="L78" s="1944"/>
      <c r="M78" s="1944"/>
      <c r="O78" s="1944"/>
    </row>
    <row r="79" spans="1:15" ht="15.5">
      <c r="A79" s="1980">
        <f t="shared" si="4"/>
        <v>62</v>
      </c>
      <c r="D79" s="1986"/>
      <c r="E79" s="1986"/>
      <c r="F79" s="1983"/>
      <c r="G79" s="1983"/>
      <c r="H79" s="1983"/>
      <c r="I79" s="1984"/>
      <c r="J79" s="1984"/>
      <c r="K79" s="1984"/>
      <c r="L79" s="1944"/>
      <c r="M79" s="1944"/>
      <c r="O79" s="1944"/>
    </row>
    <row r="80" spans="1:15" ht="15.5">
      <c r="A80" s="1980">
        <f t="shared" si="4"/>
        <v>63</v>
      </c>
      <c r="D80" s="1985">
        <v>-39353892</v>
      </c>
      <c r="E80" s="1986" t="s">
        <v>1477</v>
      </c>
      <c r="F80" s="1983"/>
      <c r="G80" s="1983"/>
      <c r="H80" s="1983"/>
      <c r="I80" s="1984"/>
      <c r="J80" s="1984"/>
      <c r="K80" s="1984"/>
      <c r="L80" s="1944"/>
      <c r="M80" s="1944"/>
      <c r="O80" s="1944"/>
    </row>
    <row r="81" spans="1:15" ht="15.5">
      <c r="A81" s="1980">
        <f t="shared" si="4"/>
        <v>64</v>
      </c>
      <c r="D81" s="1987">
        <f>+D69</f>
        <v>0.96687599999999996</v>
      </c>
      <c r="E81" s="1988" t="s">
        <v>1478</v>
      </c>
      <c r="F81" s="1983"/>
      <c r="G81" s="1983"/>
      <c r="H81" s="1983"/>
      <c r="I81" s="1984"/>
      <c r="J81" s="1984"/>
      <c r="K81" s="1984"/>
      <c r="L81" s="1944"/>
      <c r="M81" s="1944"/>
      <c r="O81" s="1944"/>
    </row>
    <row r="82" spans="1:15" ht="15.5">
      <c r="A82" s="1980">
        <f t="shared" si="4"/>
        <v>65</v>
      </c>
      <c r="D82" s="1989">
        <f>+D80*D81</f>
        <v>-38050333.681391999</v>
      </c>
      <c r="E82" s="1986" t="s">
        <v>1479</v>
      </c>
      <c r="F82" s="1983"/>
      <c r="G82" s="1983"/>
      <c r="H82" s="1983"/>
      <c r="I82" s="1984"/>
      <c r="J82" s="1984"/>
      <c r="K82" s="1984"/>
      <c r="L82" s="1944"/>
      <c r="M82" s="1944"/>
      <c r="O82" s="1944"/>
    </row>
    <row r="83" spans="1:15" ht="15.5">
      <c r="A83" s="1980">
        <f t="shared" si="4"/>
        <v>66</v>
      </c>
      <c r="D83" s="1990">
        <f>+D71</f>
        <v>3.8461538461538464E-2</v>
      </c>
      <c r="E83" s="1986" t="s">
        <v>1471</v>
      </c>
      <c r="F83" s="1983"/>
      <c r="G83" s="1983"/>
      <c r="H83" s="1983"/>
      <c r="I83" s="1984"/>
      <c r="J83" s="1984"/>
      <c r="K83" s="1984"/>
      <c r="L83" s="1944"/>
      <c r="M83" s="1944"/>
      <c r="O83" s="1944"/>
    </row>
    <row r="84" spans="1:15" ht="15.5">
      <c r="A84" s="1980">
        <f t="shared" si="4"/>
        <v>67</v>
      </c>
      <c r="D84" s="1985">
        <f>+D82*D83</f>
        <v>-1463474.3723612309</v>
      </c>
      <c r="E84" s="1986" t="s">
        <v>1472</v>
      </c>
      <c r="F84" s="1983"/>
      <c r="G84" s="1983"/>
      <c r="H84" s="1983"/>
      <c r="I84" s="1984"/>
      <c r="J84" s="1984"/>
      <c r="K84" s="1984"/>
      <c r="L84" s="1944"/>
      <c r="M84" s="1944"/>
      <c r="O84" s="1944"/>
    </row>
    <row r="85" spans="1:15" ht="15.5">
      <c r="A85" s="1980">
        <f t="shared" si="4"/>
        <v>68</v>
      </c>
      <c r="D85" s="1993"/>
      <c r="E85" s="1986"/>
      <c r="F85" s="1983"/>
      <c r="G85" s="1983"/>
      <c r="H85" s="1983"/>
      <c r="I85" s="1984"/>
      <c r="J85" s="1984"/>
      <c r="K85" s="1984"/>
      <c r="L85" s="1944"/>
      <c r="M85" s="1944"/>
      <c r="O85" s="1944"/>
    </row>
    <row r="86" spans="1:15" ht="15.5">
      <c r="A86" s="1980">
        <f t="shared" si="4"/>
        <v>69</v>
      </c>
      <c r="D86" s="1993"/>
      <c r="E86" s="1986"/>
      <c r="F86" s="1983"/>
      <c r="G86" s="1983"/>
      <c r="H86" s="1983"/>
      <c r="I86" s="1984"/>
      <c r="J86" s="1984"/>
      <c r="K86" s="1984"/>
      <c r="L86" s="1944"/>
      <c r="M86" s="1944"/>
      <c r="O86" s="1944"/>
    </row>
    <row r="87" spans="1:15" ht="15.5">
      <c r="A87" s="1980">
        <f t="shared" si="4"/>
        <v>70</v>
      </c>
      <c r="D87" s="1981" t="s">
        <v>1480</v>
      </c>
      <c r="E87" s="1986"/>
      <c r="F87" s="1983"/>
      <c r="G87" s="1983"/>
      <c r="H87" s="1983"/>
      <c r="I87" s="1984"/>
      <c r="J87" s="1984"/>
      <c r="K87" s="1984"/>
      <c r="L87" s="1944"/>
      <c r="M87" s="1944"/>
      <c r="O87" s="1944"/>
    </row>
    <row r="88" spans="1:15" ht="15.5">
      <c r="A88" s="1980">
        <f t="shared" si="4"/>
        <v>71</v>
      </c>
      <c r="D88" s="1985">
        <f>+D68</f>
        <v>-660239302</v>
      </c>
      <c r="E88" s="1986" t="s">
        <v>1481</v>
      </c>
      <c r="F88" s="1983"/>
      <c r="G88" s="1983"/>
      <c r="H88" s="1983"/>
      <c r="I88" s="1984"/>
      <c r="J88" s="1984"/>
      <c r="K88" s="1984"/>
      <c r="L88" s="1944"/>
      <c r="M88" s="1944"/>
      <c r="O88" s="1944"/>
    </row>
    <row r="89" spans="1:15" ht="15.5">
      <c r="A89" s="1980">
        <f t="shared" si="4"/>
        <v>72</v>
      </c>
      <c r="D89" s="1994">
        <f>+D69</f>
        <v>0.96687599999999996</v>
      </c>
      <c r="E89" s="1988" t="s">
        <v>1478</v>
      </c>
      <c r="F89" s="1983"/>
      <c r="G89" s="1983" t="s">
        <v>1482</v>
      </c>
      <c r="H89" s="1983"/>
      <c r="I89" s="1984"/>
      <c r="J89" s="1984"/>
      <c r="K89" s="1984"/>
      <c r="L89" s="1944"/>
      <c r="M89" s="1944"/>
      <c r="O89" s="1944"/>
    </row>
    <row r="90" spans="1:15" ht="15.5">
      <c r="A90" s="1980">
        <f t="shared" si="4"/>
        <v>73</v>
      </c>
      <c r="D90" s="1985">
        <f>+D88*D89</f>
        <v>-638369535.36055195</v>
      </c>
      <c r="E90" s="1986" t="s">
        <v>1479</v>
      </c>
      <c r="F90" s="1983"/>
      <c r="G90" s="1983"/>
      <c r="H90" s="1983"/>
      <c r="I90" s="1984"/>
      <c r="J90" s="1984"/>
      <c r="K90" s="1984"/>
      <c r="L90" s="1944"/>
      <c r="M90" s="1944"/>
      <c r="O90" s="1944"/>
    </row>
    <row r="91" spans="1:15" ht="15.5">
      <c r="A91" s="1980">
        <f t="shared" si="4"/>
        <v>74</v>
      </c>
      <c r="D91" s="1995">
        <v>5.6603773584905662E-2</v>
      </c>
      <c r="E91" s="1986" t="s">
        <v>1471</v>
      </c>
      <c r="F91" s="1983"/>
      <c r="G91" s="1983"/>
      <c r="H91" s="1983"/>
      <c r="I91" s="1984"/>
      <c r="J91" s="1984"/>
      <c r="K91" s="1984"/>
      <c r="L91" s="1944"/>
      <c r="M91" s="1944"/>
      <c r="O91" s="1944"/>
    </row>
    <row r="92" spans="1:15" ht="14.5">
      <c r="A92" s="1980">
        <f t="shared" si="4"/>
        <v>75</v>
      </c>
      <c r="D92" s="1985">
        <f>+D90*D91</f>
        <v>-36134124.643050112</v>
      </c>
      <c r="E92" s="1986" t="s">
        <v>1483</v>
      </c>
      <c r="F92" s="1985"/>
      <c r="G92" s="1982"/>
      <c r="H92" s="1982"/>
      <c r="I92" s="1996"/>
      <c r="J92" s="1996"/>
      <c r="K92" s="1996"/>
      <c r="L92" s="1944"/>
      <c r="M92" s="1944"/>
      <c r="O92" s="1944"/>
    </row>
    <row r="93" spans="1:15" ht="15.5">
      <c r="A93" s="1980">
        <f t="shared" si="4"/>
        <v>76</v>
      </c>
      <c r="D93" s="1993"/>
      <c r="E93" s="1986"/>
      <c r="F93" s="1983"/>
      <c r="G93" s="1983"/>
      <c r="H93" s="1983"/>
      <c r="I93" s="1984"/>
      <c r="J93" s="1984"/>
      <c r="K93" s="1984"/>
      <c r="L93" s="1944"/>
      <c r="M93" s="1944"/>
      <c r="O93" s="1944"/>
    </row>
    <row r="94" spans="1:15" ht="15.5">
      <c r="A94" s="1980">
        <f t="shared" si="4"/>
        <v>77</v>
      </c>
      <c r="D94" s="1985">
        <f>+D74</f>
        <v>0</v>
      </c>
      <c r="E94" s="1986" t="s">
        <v>1473</v>
      </c>
      <c r="F94" s="1983"/>
      <c r="G94" s="1983"/>
      <c r="H94" s="1983"/>
      <c r="I94" s="1984"/>
      <c r="J94" s="1984"/>
      <c r="K94" s="1984"/>
      <c r="L94" s="1944"/>
      <c r="M94" s="1944"/>
      <c r="O94" s="1944"/>
    </row>
    <row r="95" spans="1:15" ht="15.5">
      <c r="A95" s="1980">
        <f t="shared" si="4"/>
        <v>78</v>
      </c>
      <c r="D95" s="1991">
        <f>+D75</f>
        <v>0</v>
      </c>
      <c r="E95" s="1986" t="s">
        <v>1484</v>
      </c>
      <c r="F95" s="1983"/>
      <c r="G95" s="1983"/>
      <c r="H95" s="1983"/>
      <c r="I95" s="1984"/>
      <c r="J95" s="1984"/>
      <c r="K95" s="1984"/>
      <c r="L95" s="1944"/>
      <c r="M95" s="1944"/>
      <c r="O95" s="1944"/>
    </row>
    <row r="96" spans="1:15" ht="15.5">
      <c r="A96" s="1980">
        <f t="shared" si="4"/>
        <v>79</v>
      </c>
      <c r="D96" s="1985">
        <f>+D94+D95</f>
        <v>0</v>
      </c>
      <c r="E96" s="1986" t="s">
        <v>1475</v>
      </c>
      <c r="F96" s="1983"/>
      <c r="G96" s="1983"/>
      <c r="H96" s="1983"/>
      <c r="I96" s="1984"/>
      <c r="J96" s="1984"/>
      <c r="K96" s="1984"/>
      <c r="L96" s="1944"/>
      <c r="M96" s="1944"/>
      <c r="O96" s="1944"/>
    </row>
    <row r="97" spans="1:15" ht="15.5">
      <c r="A97" s="1980">
        <f t="shared" si="4"/>
        <v>80</v>
      </c>
      <c r="D97" s="1992">
        <v>0.06</v>
      </c>
      <c r="E97" s="1986" t="s">
        <v>1471</v>
      </c>
      <c r="F97" s="1983"/>
      <c r="G97" s="1983"/>
      <c r="H97" s="1983"/>
      <c r="I97" s="1984"/>
      <c r="J97" s="1984"/>
      <c r="K97" s="1984"/>
      <c r="L97" s="1944"/>
      <c r="M97" s="1944"/>
      <c r="O97" s="1944"/>
    </row>
    <row r="98" spans="1:15" ht="15.5">
      <c r="A98" s="1980">
        <f t="shared" si="4"/>
        <v>81</v>
      </c>
      <c r="C98" s="1965">
        <v>1</v>
      </c>
      <c r="D98" s="1985">
        <f>+D96*D97</f>
        <v>0</v>
      </c>
      <c r="E98" s="1986" t="s">
        <v>1476</v>
      </c>
      <c r="F98" s="1983"/>
      <c r="G98" s="1983"/>
      <c r="H98" s="1983"/>
      <c r="I98" s="1984"/>
      <c r="J98" s="1984"/>
      <c r="K98" s="1984"/>
      <c r="L98" s="1944"/>
      <c r="M98" s="1944"/>
      <c r="O98" s="1944"/>
    </row>
    <row r="99" spans="1:15" ht="15.5">
      <c r="A99" s="1980">
        <f t="shared" si="4"/>
        <v>82</v>
      </c>
      <c r="D99" s="1993"/>
      <c r="E99" s="1986"/>
      <c r="F99" s="1983"/>
      <c r="G99" s="1983"/>
      <c r="H99" s="1983"/>
      <c r="I99" s="1984"/>
      <c r="J99" s="1984"/>
      <c r="K99" s="1984"/>
      <c r="L99" s="1944"/>
      <c r="M99" s="1944"/>
      <c r="O99" s="1944"/>
    </row>
    <row r="100" spans="1:15" ht="15.5">
      <c r="A100" s="1980">
        <f t="shared" si="4"/>
        <v>83</v>
      </c>
      <c r="D100" s="1985">
        <f>+D80</f>
        <v>-39353892</v>
      </c>
      <c r="E100" s="1986" t="s">
        <v>1477</v>
      </c>
      <c r="F100" s="1983"/>
      <c r="G100" s="1983"/>
      <c r="H100" s="1983"/>
      <c r="I100" s="1984"/>
      <c r="J100" s="1984"/>
      <c r="K100" s="1984"/>
      <c r="L100" s="1944"/>
      <c r="M100" s="1944"/>
      <c r="O100" s="1944"/>
    </row>
    <row r="101" spans="1:15" ht="14.5">
      <c r="A101" s="1980">
        <f t="shared" si="4"/>
        <v>84</v>
      </c>
      <c r="D101" s="1987">
        <f>+D89</f>
        <v>0.96687599999999996</v>
      </c>
      <c r="E101" s="1988" t="s">
        <v>1478</v>
      </c>
      <c r="F101" s="1996"/>
      <c r="G101" s="1996"/>
      <c r="H101" s="1996"/>
      <c r="I101" s="1996"/>
      <c r="J101" s="1996"/>
      <c r="K101" s="1996"/>
      <c r="L101" s="1944"/>
      <c r="M101" s="1944"/>
      <c r="O101" s="1944"/>
    </row>
    <row r="102" spans="1:15" ht="14.5">
      <c r="A102" s="1980">
        <f t="shared" si="4"/>
        <v>85</v>
      </c>
      <c r="D102" s="1989">
        <f>+D100*D101</f>
        <v>-38050333.681391999</v>
      </c>
      <c r="E102" s="1986" t="s">
        <v>1479</v>
      </c>
      <c r="F102" s="1942"/>
      <c r="G102" s="1982"/>
      <c r="H102" s="1982"/>
      <c r="I102" s="1996"/>
      <c r="J102" s="1996"/>
      <c r="K102" s="1996"/>
      <c r="L102" s="1944"/>
      <c r="M102" s="1944"/>
      <c r="O102" s="1944"/>
    </row>
    <row r="103" spans="1:15" ht="14.5">
      <c r="A103" s="1980">
        <f t="shared" si="4"/>
        <v>86</v>
      </c>
      <c r="D103" s="1990">
        <f>+D91</f>
        <v>5.6603773584905662E-2</v>
      </c>
      <c r="E103" s="1986" t="s">
        <v>1471</v>
      </c>
      <c r="G103" s="1982"/>
      <c r="H103" s="1982"/>
      <c r="I103" s="1996"/>
      <c r="J103" s="1996"/>
      <c r="K103" s="1996"/>
      <c r="L103" s="1944"/>
      <c r="M103" s="1944"/>
      <c r="O103" s="1944"/>
    </row>
    <row r="104" spans="1:15" ht="15.5">
      <c r="A104" s="1980">
        <f t="shared" si="4"/>
        <v>87</v>
      </c>
      <c r="D104" s="1985">
        <f>+D102*D103</f>
        <v>-2153792.4725316227</v>
      </c>
      <c r="E104" s="1986" t="s">
        <v>1472</v>
      </c>
      <c r="F104" s="1998"/>
      <c r="G104" s="1982"/>
      <c r="H104" s="1982"/>
      <c r="I104" s="1996"/>
      <c r="J104" s="1996"/>
      <c r="K104" s="1996"/>
      <c r="L104" s="1944"/>
      <c r="M104" s="1944"/>
      <c r="O104" s="1944"/>
    </row>
    <row r="105" spans="1:15" ht="15.5">
      <c r="A105" s="1980">
        <f t="shared" si="4"/>
        <v>88</v>
      </c>
      <c r="D105" s="1993"/>
      <c r="E105" s="1999"/>
      <c r="F105" s="1998"/>
      <c r="G105" s="1982"/>
      <c r="H105" s="1982"/>
      <c r="I105" s="1996"/>
      <c r="J105" s="1996"/>
      <c r="K105" s="1996"/>
      <c r="L105" s="1944"/>
      <c r="M105" s="1944"/>
      <c r="O105" s="1944"/>
    </row>
    <row r="106" spans="1:15" ht="15.5">
      <c r="A106" s="1980">
        <f t="shared" si="4"/>
        <v>89</v>
      </c>
      <c r="D106" s="1981" t="s">
        <v>1485</v>
      </c>
      <c r="E106" s="1986"/>
      <c r="F106" s="1998"/>
      <c r="G106" s="1982"/>
      <c r="H106" s="1982"/>
      <c r="I106" s="1996"/>
      <c r="J106" s="1996"/>
      <c r="K106" s="1996"/>
      <c r="L106" s="1944"/>
      <c r="M106" s="1944"/>
      <c r="O106" s="1944"/>
    </row>
    <row r="107" spans="1:15" ht="43.5">
      <c r="A107" s="1980">
        <f t="shared" si="4"/>
        <v>90</v>
      </c>
      <c r="D107" s="2000">
        <f>-(+D72-D92-(D84-D104))</f>
        <v>-10891132.105935413</v>
      </c>
      <c r="E107" s="2001" t="s">
        <v>1491</v>
      </c>
      <c r="F107" s="2002">
        <f>+D107</f>
        <v>-10891132.105935413</v>
      </c>
      <c r="G107" s="2017">
        <f>+F107/D92</f>
        <v>0.3014084944224647</v>
      </c>
      <c r="H107" s="2018">
        <v>0</v>
      </c>
      <c r="I107" s="2007">
        <f>+F107+H107</f>
        <v>-10891132.105935413</v>
      </c>
      <c r="J107" s="2007">
        <f>+J108</f>
        <v>0</v>
      </c>
      <c r="K107" s="2018">
        <f>+F107+H107</f>
        <v>-10891132.105935413</v>
      </c>
      <c r="L107" s="2019" t="s">
        <v>871</v>
      </c>
      <c r="M107" s="2019">
        <f>+D92+K107</f>
        <v>-47025256.748985529</v>
      </c>
      <c r="N107" s="2020"/>
      <c r="O107" s="1944"/>
    </row>
    <row r="108" spans="1:15" ht="14.5">
      <c r="A108" s="1980">
        <f>+A107+1</f>
        <v>91</v>
      </c>
      <c r="B108" s="2021"/>
      <c r="D108" s="2004">
        <f>+D78-D98</f>
        <v>0</v>
      </c>
      <c r="E108" s="1986" t="s">
        <v>1492</v>
      </c>
      <c r="F108" s="2002">
        <f>+D108</f>
        <v>0</v>
      </c>
      <c r="G108" s="2017">
        <v>0</v>
      </c>
      <c r="H108" s="2018">
        <v>0</v>
      </c>
      <c r="I108" s="2007">
        <f>+F108+H108</f>
        <v>0</v>
      </c>
      <c r="J108" s="2007">
        <v>0</v>
      </c>
      <c r="K108" s="2018">
        <f>+F108+H108</f>
        <v>0</v>
      </c>
      <c r="L108" s="2019"/>
      <c r="M108" s="2019">
        <f>+D98+K108</f>
        <v>0</v>
      </c>
      <c r="N108" s="2020"/>
      <c r="O108" s="1944"/>
    </row>
    <row r="109" spans="1:15" ht="14.5">
      <c r="A109" s="1980">
        <f t="shared" si="4"/>
        <v>92</v>
      </c>
      <c r="B109" s="2021"/>
      <c r="D109" s="1985">
        <f>SUM(D107:D108)</f>
        <v>-10891132.105935413</v>
      </c>
      <c r="E109" s="1986" t="s">
        <v>1479</v>
      </c>
      <c r="F109" s="2005"/>
      <c r="G109" s="2018"/>
      <c r="H109" s="2018"/>
      <c r="I109" s="2007"/>
      <c r="J109" s="2007"/>
      <c r="K109" s="2018"/>
      <c r="L109" s="2018"/>
      <c r="M109" s="2018"/>
      <c r="N109" s="2020"/>
      <c r="O109" s="1944"/>
    </row>
    <row r="110" spans="1:15" ht="14.5">
      <c r="A110" s="1980">
        <f t="shared" si="4"/>
        <v>93</v>
      </c>
      <c r="B110" s="2021"/>
      <c r="D110" s="2004">
        <f t="shared" ref="D110" si="5">-D109*0.21</f>
        <v>2287137.7422464369</v>
      </c>
      <c r="E110" s="1986" t="s">
        <v>1493</v>
      </c>
      <c r="F110" s="2006">
        <f>+D110</f>
        <v>2287137.7422464369</v>
      </c>
      <c r="G110" s="2017">
        <f>+F110/D109</f>
        <v>-0.21000000000000002</v>
      </c>
      <c r="H110" s="2018">
        <v>0</v>
      </c>
      <c r="I110" s="2007">
        <f>+F110+H110</f>
        <v>2287137.7422464369</v>
      </c>
      <c r="J110" s="2007">
        <v>0</v>
      </c>
      <c r="K110" s="2018">
        <f>+F110+H110</f>
        <v>2287137.7422464369</v>
      </c>
      <c r="L110" s="2019" t="s">
        <v>871</v>
      </c>
      <c r="M110" s="2019">
        <f>+K110</f>
        <v>2287137.7422464369</v>
      </c>
      <c r="N110" s="2020"/>
      <c r="O110" s="2016"/>
    </row>
    <row r="111" spans="1:15" ht="29">
      <c r="A111" s="1980">
        <f t="shared" si="4"/>
        <v>94</v>
      </c>
      <c r="B111" s="2021"/>
      <c r="D111" s="1985">
        <f t="shared" ref="D111" si="6">SUM(D109:D110)</f>
        <v>-8603994.3636889756</v>
      </c>
      <c r="E111" s="2001" t="s">
        <v>1489</v>
      </c>
      <c r="F111" s="2007"/>
      <c r="G111" s="2018"/>
      <c r="H111" s="2018"/>
      <c r="I111" s="2019"/>
      <c r="J111" s="2019"/>
      <c r="K111" s="2022"/>
      <c r="L111" s="2020"/>
      <c r="M111" s="2020"/>
      <c r="N111" s="2020"/>
      <c r="O111" s="2016"/>
    </row>
    <row r="112" spans="1:15" ht="14.5">
      <c r="A112" s="1980">
        <f>+A111+1</f>
        <v>95</v>
      </c>
      <c r="D112" s="2023"/>
      <c r="E112" s="2020"/>
      <c r="F112" s="2024"/>
      <c r="G112" s="2025"/>
      <c r="H112" s="2026"/>
      <c r="I112" s="2026"/>
      <c r="J112" s="2026"/>
      <c r="K112" s="2026"/>
      <c r="L112" s="2007"/>
      <c r="M112" s="2020"/>
      <c r="N112" s="2007"/>
      <c r="O112" s="1944"/>
    </row>
    <row r="113" spans="1:15" ht="14.5">
      <c r="A113" s="1980">
        <f>+A112+1</f>
        <v>96</v>
      </c>
      <c r="B113" s="1965" t="s">
        <v>258</v>
      </c>
      <c r="D113" s="2027">
        <f>+D92+D98+D104</f>
        <v>-38287917.115581736</v>
      </c>
      <c r="E113" s="2020" t="s">
        <v>1494</v>
      </c>
      <c r="F113" s="2028">
        <f>SUM(F107:F111)</f>
        <v>-8603994.3636889756</v>
      </c>
      <c r="G113" s="2029"/>
      <c r="H113" s="2028">
        <f>SUM(H107:H111)</f>
        <v>0</v>
      </c>
      <c r="I113" s="2028">
        <f>SUM(I107:I111)</f>
        <v>-8603994.3636889756</v>
      </c>
      <c r="J113" s="2028">
        <f t="shared" ref="J113" si="7">SUM(J108:J111)</f>
        <v>0</v>
      </c>
      <c r="K113" s="2028">
        <f>SUM(K107:K111)</f>
        <v>-8603994.3636889756</v>
      </c>
      <c r="L113" s="2007"/>
      <c r="M113" s="2028">
        <f>SUM(M107:M111)</f>
        <v>-44738119.006739095</v>
      </c>
      <c r="N113" s="2007"/>
      <c r="O113" s="1944"/>
    </row>
    <row r="114" spans="1:15">
      <c r="A114" s="1980"/>
      <c r="D114" s="2030"/>
      <c r="E114" s="1944"/>
      <c r="F114" s="1936"/>
      <c r="G114" s="2031"/>
      <c r="H114" s="1936"/>
      <c r="I114" s="1942"/>
      <c r="J114" s="1942"/>
      <c r="K114" s="1936"/>
      <c r="M114" s="1944"/>
      <c r="N114" s="1965"/>
      <c r="O114" s="1944"/>
    </row>
    <row r="115" spans="1:15">
      <c r="A115" s="1980"/>
      <c r="D115" s="2030"/>
      <c r="E115" s="1944"/>
      <c r="F115" s="1936"/>
      <c r="G115" s="2031"/>
      <c r="H115" s="1936"/>
      <c r="I115" s="1942"/>
      <c r="J115" s="1942"/>
      <c r="K115" s="1936"/>
      <c r="M115" s="2016"/>
      <c r="N115" s="1965"/>
      <c r="O115" s="1944"/>
    </row>
    <row r="116" spans="1:15" ht="12.75" customHeight="1">
      <c r="A116" s="1965" t="s">
        <v>1421</v>
      </c>
      <c r="D116" s="1965"/>
      <c r="M116" s="1944"/>
      <c r="N116" s="1965"/>
      <c r="O116" s="1944"/>
    </row>
    <row r="117" spans="1:15" ht="12.75" customHeight="1">
      <c r="B117" s="2328" t="s">
        <v>1420</v>
      </c>
      <c r="C117" s="2328"/>
      <c r="D117" s="2328"/>
      <c r="E117" s="2328"/>
      <c r="F117" s="2328"/>
      <c r="G117" s="2328"/>
      <c r="H117" s="2328"/>
      <c r="M117" s="1944"/>
      <c r="N117" s="1965"/>
      <c r="O117" s="1944"/>
    </row>
    <row r="118" spans="1:15">
      <c r="A118" s="1965"/>
      <c r="B118" s="2328"/>
      <c r="C118" s="2328"/>
      <c r="D118" s="2328"/>
      <c r="E118" s="2328"/>
      <c r="F118" s="2328"/>
      <c r="G118" s="2328"/>
      <c r="H118" s="2328"/>
      <c r="M118" s="1944"/>
      <c r="N118" s="1965"/>
      <c r="O118" s="1944"/>
    </row>
    <row r="119" spans="1:15">
      <c r="A119" s="1965"/>
      <c r="B119" s="2328"/>
      <c r="C119" s="2328"/>
      <c r="D119" s="2328"/>
      <c r="E119" s="2328"/>
      <c r="F119" s="2328"/>
      <c r="G119" s="2328"/>
      <c r="H119" s="2328"/>
      <c r="M119" s="1944"/>
      <c r="N119" s="1965"/>
      <c r="O119" s="1944"/>
    </row>
    <row r="120" spans="1:15">
      <c r="A120" s="1965"/>
      <c r="B120" s="2328"/>
      <c r="C120" s="2328"/>
      <c r="D120" s="2328"/>
      <c r="E120" s="2328"/>
      <c r="F120" s="2328"/>
      <c r="G120" s="2328"/>
      <c r="H120" s="2328"/>
      <c r="M120" s="1944"/>
      <c r="N120" s="1965"/>
      <c r="O120" s="1944"/>
    </row>
    <row r="121" spans="1:15">
      <c r="A121" s="1980"/>
      <c r="M121" s="1944"/>
      <c r="N121" s="1965"/>
      <c r="O121" s="1944"/>
    </row>
    <row r="122" spans="1:15">
      <c r="A122" s="1980" t="s">
        <v>1419</v>
      </c>
      <c r="B122" s="1965" t="s">
        <v>1495</v>
      </c>
      <c r="M122" s="1944"/>
      <c r="N122" s="1965"/>
      <c r="O122" s="1944"/>
    </row>
    <row r="123" spans="1:15">
      <c r="A123" s="1980"/>
      <c r="M123" s="1944"/>
      <c r="N123" s="1965"/>
      <c r="O123" s="1944"/>
    </row>
    <row r="124" spans="1:15">
      <c r="A124" s="1980"/>
      <c r="M124" s="1944"/>
      <c r="N124" s="1965"/>
      <c r="O124" s="1944"/>
    </row>
    <row r="125" spans="1:15">
      <c r="A125" s="1964" t="s">
        <v>1417</v>
      </c>
      <c r="B125" s="2328" t="s">
        <v>1416</v>
      </c>
      <c r="C125" s="2328"/>
      <c r="D125" s="2328"/>
      <c r="E125" s="2328"/>
      <c r="F125" s="2328"/>
      <c r="G125" s="2328"/>
      <c r="M125" s="1944"/>
      <c r="N125" s="1965"/>
      <c r="O125" s="1944"/>
    </row>
    <row r="126" spans="1:15">
      <c r="B126" s="2328"/>
      <c r="C126" s="2328"/>
      <c r="D126" s="2328"/>
      <c r="E126" s="2328"/>
      <c r="F126" s="2328"/>
      <c r="G126" s="2328"/>
      <c r="M126" s="1944"/>
      <c r="N126" s="1965"/>
      <c r="O126" s="1944"/>
    </row>
    <row r="127" spans="1:15">
      <c r="B127" s="2328"/>
      <c r="C127" s="2328"/>
      <c r="D127" s="2328"/>
      <c r="E127" s="2328"/>
      <c r="F127" s="2328"/>
      <c r="G127" s="2328"/>
      <c r="M127" s="1944"/>
      <c r="N127" s="1965"/>
      <c r="O127" s="1944"/>
    </row>
    <row r="128" spans="1:15">
      <c r="A128" s="1965"/>
      <c r="H128" s="1944"/>
      <c r="I128" s="1944"/>
      <c r="J128" s="1944"/>
      <c r="K128" s="1944"/>
      <c r="L128" s="1944"/>
      <c r="M128" s="1944"/>
    </row>
    <row r="129" spans="1:13" ht="15.65" customHeight="1">
      <c r="A129" s="1964" t="s">
        <v>1415</v>
      </c>
      <c r="B129" s="2328" t="s">
        <v>1499</v>
      </c>
      <c r="C129" s="2328"/>
      <c r="D129" s="2328"/>
      <c r="E129" s="2328"/>
      <c r="F129" s="2328"/>
      <c r="G129" s="2328"/>
      <c r="H129" s="1944"/>
      <c r="I129" s="1944"/>
      <c r="J129" s="1944"/>
      <c r="K129" s="1944"/>
      <c r="L129" s="1944"/>
      <c r="M129" s="1944"/>
    </row>
    <row r="130" spans="1:13" ht="12.65" customHeight="1">
      <c r="B130" s="2328"/>
      <c r="C130" s="2328"/>
      <c r="D130" s="2328"/>
      <c r="E130" s="2328"/>
      <c r="F130" s="2328"/>
      <c r="G130" s="2328"/>
      <c r="H130" s="1944"/>
      <c r="I130" s="1944"/>
      <c r="J130" s="1944"/>
      <c r="K130" s="1944"/>
      <c r="L130" s="1944"/>
      <c r="M130" s="1944"/>
    </row>
    <row r="131" spans="1:13" ht="12.65" customHeight="1">
      <c r="A131" s="1965"/>
      <c r="B131" s="2328"/>
      <c r="C131" s="2328"/>
      <c r="D131" s="2328"/>
      <c r="E131" s="2328"/>
      <c r="F131" s="2328"/>
      <c r="G131" s="2328"/>
      <c r="H131" s="1944"/>
      <c r="I131" s="1944"/>
      <c r="J131" s="1944"/>
      <c r="K131" s="1944"/>
      <c r="L131" s="1944"/>
      <c r="M131" s="1944"/>
    </row>
    <row r="132" spans="1:13" ht="12.65" customHeight="1">
      <c r="A132" s="1964" t="s">
        <v>1414</v>
      </c>
      <c r="B132" s="2332" t="s">
        <v>1496</v>
      </c>
      <c r="C132" s="2332"/>
      <c r="D132" s="2332"/>
      <c r="E132" s="2332"/>
      <c r="F132" s="2332"/>
      <c r="G132" s="2332"/>
      <c r="H132" s="1944"/>
      <c r="I132" s="1944"/>
      <c r="J132" s="1944"/>
      <c r="K132" s="1944"/>
      <c r="L132" s="1944"/>
      <c r="M132" s="1944"/>
    </row>
    <row r="133" spans="1:13" ht="15.5">
      <c r="A133" s="2032"/>
      <c r="B133" s="2332"/>
      <c r="C133" s="2332"/>
      <c r="D133" s="2332"/>
      <c r="E133" s="2332"/>
      <c r="F133" s="2332"/>
      <c r="G133" s="2332"/>
      <c r="H133" s="1944"/>
      <c r="I133" s="1944"/>
      <c r="J133" s="1944"/>
      <c r="K133" s="1944"/>
      <c r="L133" s="1944"/>
      <c r="M133" s="1944"/>
    </row>
    <row r="134" spans="1:13" ht="12.65" customHeight="1">
      <c r="A134" s="1965"/>
      <c r="H134" s="1944"/>
      <c r="I134" s="1944"/>
      <c r="J134" s="1944"/>
      <c r="K134" s="1944"/>
      <c r="L134" s="1944"/>
      <c r="M134" s="1944"/>
    </row>
    <row r="135" spans="1:13" ht="12.75" customHeight="1">
      <c r="A135" s="1965" t="s">
        <v>1412</v>
      </c>
      <c r="B135" s="2333" t="s">
        <v>1500</v>
      </c>
      <c r="C135" s="2333"/>
      <c r="D135" s="2333"/>
      <c r="E135" s="2333"/>
      <c r="F135" s="2333"/>
      <c r="H135" s="1944"/>
      <c r="I135" s="1944"/>
      <c r="J135" s="1944"/>
      <c r="K135" s="1944"/>
      <c r="L135" s="1944"/>
      <c r="M135" s="1944"/>
    </row>
    <row r="136" spans="1:13">
      <c r="B136" s="2333"/>
      <c r="C136" s="2333"/>
      <c r="D136" s="2333"/>
      <c r="E136" s="2333"/>
      <c r="F136" s="2333"/>
      <c r="H136" s="1944"/>
      <c r="I136" s="1944"/>
      <c r="J136" s="1944"/>
      <c r="K136" s="1944"/>
      <c r="L136" s="1944"/>
      <c r="M136" s="1944"/>
    </row>
    <row r="137" spans="1:13">
      <c r="A137" s="1965"/>
      <c r="H137" s="1944"/>
      <c r="I137" s="1944"/>
      <c r="J137" s="1944"/>
      <c r="K137" s="1944"/>
      <c r="L137" s="1944"/>
      <c r="M137" s="1944"/>
    </row>
    <row r="138" spans="1:13" ht="12.75" customHeight="1">
      <c r="A138" s="1965" t="s">
        <v>1411</v>
      </c>
      <c r="B138" s="2320" t="s">
        <v>1410</v>
      </c>
      <c r="C138" s="2320"/>
      <c r="D138" s="2320"/>
      <c r="E138" s="2320"/>
      <c r="F138" s="2320"/>
      <c r="G138" s="2320"/>
      <c r="H138" s="2320"/>
      <c r="I138" s="1944"/>
      <c r="J138" s="1944"/>
      <c r="K138" s="1944"/>
      <c r="L138" s="1944"/>
      <c r="M138" s="1944"/>
    </row>
    <row r="139" spans="1:13">
      <c r="B139" s="2320"/>
      <c r="C139" s="2320"/>
      <c r="D139" s="2320"/>
      <c r="E139" s="2320"/>
      <c r="F139" s="2320"/>
      <c r="G139" s="2320"/>
      <c r="H139" s="2320"/>
      <c r="I139" s="1944"/>
      <c r="J139" s="1944"/>
      <c r="K139" s="1944"/>
    </row>
    <row r="140" spans="1:13">
      <c r="B140" s="2320"/>
      <c r="C140" s="2320"/>
      <c r="D140" s="2320"/>
      <c r="E140" s="2320"/>
      <c r="F140" s="2320"/>
      <c r="G140" s="2320"/>
      <c r="H140" s="2320"/>
      <c r="I140" s="1944"/>
      <c r="J140" s="1944"/>
      <c r="K140" s="1944"/>
    </row>
    <row r="141" spans="1:13" ht="14.5">
      <c r="A141" s="2033" t="s">
        <v>1409</v>
      </c>
      <c r="B141" s="2329" t="s">
        <v>1497</v>
      </c>
      <c r="C141" s="2329"/>
      <c r="D141" s="2329"/>
      <c r="E141" s="2329"/>
      <c r="F141" s="2329"/>
      <c r="G141" s="2329"/>
      <c r="H141" s="2329"/>
      <c r="I141" s="2033"/>
      <c r="J141" s="2033"/>
      <c r="K141" s="2033"/>
    </row>
    <row r="142" spans="1:13" ht="13.5" customHeight="1">
      <c r="A142" s="1965"/>
      <c r="B142" s="2329"/>
      <c r="C142" s="2329"/>
      <c r="D142" s="2329"/>
      <c r="E142" s="2329"/>
      <c r="F142" s="2329"/>
      <c r="G142" s="2329"/>
      <c r="H142" s="2329"/>
      <c r="I142" s="2034"/>
      <c r="J142" s="2034"/>
      <c r="K142" s="2034"/>
    </row>
    <row r="143" spans="1:13">
      <c r="B143" s="2329"/>
      <c r="C143" s="2329"/>
      <c r="D143" s="2329"/>
      <c r="E143" s="2329"/>
      <c r="F143" s="2329"/>
      <c r="G143" s="2329"/>
      <c r="H143" s="2329"/>
    </row>
    <row r="145" spans="1:15" ht="15.5">
      <c r="A145" s="2032"/>
      <c r="B145" s="1998"/>
      <c r="C145" s="1998"/>
      <c r="D145" s="2035"/>
      <c r="E145" s="1998"/>
      <c r="F145" s="1998"/>
      <c r="G145" s="1998"/>
      <c r="H145" s="1998"/>
      <c r="I145" s="1998"/>
      <c r="J145" s="1998"/>
      <c r="K145" s="1998"/>
      <c r="L145" s="1998"/>
      <c r="M145" s="1998"/>
      <c r="N145" s="1998"/>
    </row>
    <row r="146" spans="1:15" ht="15.5">
      <c r="A146" s="2032"/>
      <c r="B146" s="1998"/>
      <c r="C146" s="1998"/>
      <c r="D146" s="2035"/>
      <c r="E146" s="1998"/>
      <c r="F146" s="1998"/>
      <c r="G146" s="1998"/>
      <c r="H146" s="1998"/>
      <c r="I146" s="1998"/>
      <c r="J146" s="1998"/>
      <c r="K146" s="1998"/>
      <c r="L146" s="1998"/>
      <c r="M146" s="1998"/>
      <c r="N146" s="1998"/>
    </row>
    <row r="147" spans="1:15" ht="15.5">
      <c r="A147" s="2032"/>
      <c r="B147" s="1998"/>
      <c r="C147" s="1998"/>
      <c r="D147" s="2035"/>
      <c r="E147" s="1998"/>
      <c r="F147" s="1998"/>
      <c r="G147" s="1998"/>
      <c r="H147" s="1998"/>
      <c r="I147" s="1998"/>
      <c r="J147" s="1998"/>
      <c r="K147" s="1998"/>
      <c r="L147" s="1998"/>
      <c r="M147" s="1998"/>
      <c r="N147" s="1998"/>
    </row>
    <row r="148" spans="1:15" ht="15.5">
      <c r="A148" s="2032"/>
      <c r="B148" s="1998"/>
      <c r="C148" s="1998"/>
      <c r="D148" s="2035"/>
      <c r="E148" s="1998"/>
      <c r="F148" s="1998"/>
      <c r="G148" s="1998"/>
      <c r="H148" s="1998"/>
      <c r="I148" s="1998"/>
      <c r="J148" s="1998"/>
      <c r="K148" s="1998"/>
      <c r="L148" s="1998"/>
      <c r="M148" s="1998"/>
      <c r="N148" s="1998"/>
      <c r="O148" s="1944"/>
    </row>
    <row r="149" spans="1:15" ht="15.5">
      <c r="A149" s="2032"/>
      <c r="B149" s="1998"/>
      <c r="C149" s="1998"/>
      <c r="D149" s="2035"/>
      <c r="E149" s="1998"/>
      <c r="F149" s="1998"/>
      <c r="G149" s="1998"/>
      <c r="H149" s="1998"/>
      <c r="I149" s="1998"/>
      <c r="J149" s="1998"/>
      <c r="K149" s="1998"/>
      <c r="L149" s="1998"/>
      <c r="M149" s="1998"/>
      <c r="N149" s="1998"/>
      <c r="O149" s="1944"/>
    </row>
    <row r="150" spans="1:15" ht="15.5">
      <c r="A150" s="2032"/>
      <c r="B150" s="1998"/>
      <c r="C150" s="1998"/>
      <c r="D150" s="2035"/>
      <c r="E150" s="1998"/>
      <c r="F150" s="1998"/>
      <c r="G150" s="1998"/>
      <c r="H150" s="1998"/>
      <c r="I150" s="1998"/>
      <c r="J150" s="1998"/>
      <c r="K150" s="1998"/>
      <c r="L150" s="1998"/>
      <c r="M150" s="1998"/>
      <c r="N150" s="1998"/>
      <c r="O150" s="1944"/>
    </row>
    <row r="151" spans="1:15" ht="15.5">
      <c r="A151" s="2032"/>
      <c r="B151" s="1998"/>
      <c r="C151" s="1998"/>
      <c r="D151" s="2035"/>
      <c r="E151" s="1998"/>
      <c r="F151" s="1998"/>
      <c r="G151" s="1998"/>
      <c r="H151" s="1998"/>
      <c r="I151" s="1998"/>
      <c r="J151" s="1998"/>
      <c r="K151" s="1998"/>
      <c r="L151" s="1998"/>
      <c r="M151" s="1998"/>
      <c r="N151" s="1998"/>
      <c r="O151" s="1944"/>
    </row>
    <row r="152" spans="1:15" ht="15.5">
      <c r="A152" s="2032"/>
      <c r="B152" s="1998"/>
      <c r="C152" s="1998"/>
      <c r="D152" s="2035"/>
      <c r="E152" s="1998"/>
      <c r="F152" s="1998"/>
      <c r="G152" s="1998"/>
      <c r="H152" s="1998"/>
      <c r="I152" s="1998"/>
      <c r="J152" s="1998"/>
      <c r="K152" s="1998"/>
      <c r="L152" s="1998"/>
      <c r="M152" s="1998"/>
      <c r="N152" s="1998"/>
      <c r="O152" s="1944"/>
    </row>
    <row r="153" spans="1:15" ht="15.5">
      <c r="A153" s="2032"/>
      <c r="B153" s="1998"/>
      <c r="C153" s="1998"/>
      <c r="D153" s="2035"/>
      <c r="E153" s="1998"/>
      <c r="F153" s="1998"/>
      <c r="G153" s="1998"/>
      <c r="H153" s="1998"/>
      <c r="I153" s="1998"/>
      <c r="J153" s="1998"/>
      <c r="K153" s="1998"/>
      <c r="L153" s="1998"/>
      <c r="M153" s="1998"/>
      <c r="N153" s="1998"/>
      <c r="O153" s="1944"/>
    </row>
    <row r="154" spans="1:15" ht="15.5">
      <c r="A154" s="2032"/>
      <c r="B154" s="1998"/>
      <c r="C154" s="1998"/>
      <c r="D154" s="2035"/>
      <c r="E154" s="1998"/>
      <c r="F154" s="1998"/>
      <c r="G154" s="1998"/>
      <c r="H154" s="1998"/>
      <c r="I154" s="1998"/>
      <c r="J154" s="1998"/>
      <c r="K154" s="1998"/>
      <c r="L154" s="1998"/>
      <c r="M154" s="1998"/>
      <c r="N154" s="1998"/>
      <c r="O154" s="1944"/>
    </row>
    <row r="155" spans="1:15" ht="15.5">
      <c r="A155" s="2032"/>
      <c r="B155" s="1998"/>
      <c r="C155" s="1998"/>
      <c r="D155" s="2035"/>
      <c r="E155" s="1998"/>
      <c r="F155" s="1998"/>
      <c r="G155" s="1998"/>
      <c r="H155" s="1998"/>
      <c r="I155" s="1998"/>
      <c r="J155" s="1998"/>
      <c r="K155" s="1998"/>
      <c r="L155" s="1998"/>
      <c r="M155" s="1998"/>
      <c r="N155" s="1998"/>
      <c r="O155" s="1944"/>
    </row>
    <row r="156" spans="1:15" ht="15.5">
      <c r="A156" s="2032"/>
      <c r="B156" s="1998"/>
      <c r="C156" s="1998"/>
      <c r="D156" s="2035"/>
      <c r="E156" s="1998"/>
      <c r="F156" s="1998"/>
      <c r="G156" s="1998"/>
      <c r="H156" s="1998"/>
      <c r="I156" s="1998"/>
      <c r="J156" s="1998"/>
      <c r="K156" s="1998"/>
      <c r="L156" s="1998"/>
      <c r="M156" s="1998"/>
      <c r="N156" s="1998"/>
      <c r="O156" s="1944"/>
    </row>
    <row r="157" spans="1:15" ht="15.5">
      <c r="A157" s="2032"/>
      <c r="B157" s="1998"/>
      <c r="C157" s="1998"/>
      <c r="D157" s="2035"/>
      <c r="E157" s="1998"/>
      <c r="F157" s="1998"/>
      <c r="G157" s="1998"/>
      <c r="H157" s="1998"/>
      <c r="I157" s="1998"/>
      <c r="J157" s="1998"/>
      <c r="K157" s="1998"/>
      <c r="L157" s="1998"/>
      <c r="M157" s="1998"/>
      <c r="N157" s="1998"/>
    </row>
    <row r="193" spans="11:11">
      <c r="K193" s="1965">
        <v>5</v>
      </c>
    </row>
  </sheetData>
  <mergeCells count="9">
    <mergeCell ref="B138:H140"/>
    <mergeCell ref="B129:G131"/>
    <mergeCell ref="B141:H143"/>
    <mergeCell ref="A7:K7"/>
    <mergeCell ref="P9:P10"/>
    <mergeCell ref="B117:H120"/>
    <mergeCell ref="B125:G127"/>
    <mergeCell ref="B132:G133"/>
    <mergeCell ref="B135:F136"/>
  </mergeCells>
  <pageMargins left="0.7" right="0.7" top="0.75" bottom="0.75" header="0.3" footer="0.3"/>
  <pageSetup scale="10"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E95"/>
  <sheetViews>
    <sheetView topLeftCell="K9" zoomScale="70" zoomScaleNormal="70" zoomScaleSheetLayoutView="80" zoomScalePageLayoutView="70" workbookViewId="0">
      <selection activeCell="Q16" sqref="Q16"/>
    </sheetView>
  </sheetViews>
  <sheetFormatPr defaultColWidth="11.453125" defaultRowHeight="12.5"/>
  <cols>
    <col min="1" max="1" width="12.54296875" style="881" customWidth="1"/>
    <col min="2" max="2" width="15.453125" style="873" customWidth="1"/>
    <col min="3" max="3" width="42.453125" style="873" customWidth="1"/>
    <col min="4" max="4" width="22.1796875" style="873" customWidth="1"/>
    <col min="5" max="5" width="21" style="873" customWidth="1"/>
    <col min="6" max="6" width="1" style="873" customWidth="1"/>
    <col min="7" max="7" width="24" style="873" customWidth="1"/>
    <col min="8" max="8" width="1" style="873" customWidth="1"/>
    <col min="9" max="9" width="19.1796875" style="873" customWidth="1"/>
    <col min="10" max="10" width="16.54296875" style="873" customWidth="1"/>
    <col min="11" max="11" width="49.81640625" style="873" customWidth="1"/>
    <col min="12" max="13" width="13.453125" style="873" customWidth="1"/>
    <col min="14" max="14" width="31" style="873" customWidth="1"/>
    <col min="15" max="15" width="29.453125" style="873" customWidth="1"/>
    <col min="16" max="16" width="20.54296875" style="873" customWidth="1"/>
    <col min="17" max="17" width="15.453125" style="873" customWidth="1"/>
    <col min="18" max="29" width="14.453125" style="873" customWidth="1"/>
    <col min="30" max="16384" width="11.453125" style="873"/>
  </cols>
  <sheetData>
    <row r="1" spans="1:30" ht="15.5">
      <c r="A1" s="872"/>
      <c r="K1" s="749"/>
      <c r="M1" s="872"/>
      <c r="AC1" s="749"/>
    </row>
    <row r="2" spans="1:30" ht="15.5">
      <c r="A2" s="2278" t="str">
        <f>+'PSO TCOS'!F4</f>
        <v xml:space="preserve">AEP West SPP Member Operating Companies </v>
      </c>
      <c r="B2" s="2278"/>
      <c r="C2" s="2278"/>
      <c r="D2" s="2278"/>
      <c r="E2" s="2278"/>
      <c r="F2" s="2278"/>
      <c r="G2" s="2278"/>
      <c r="H2" s="2278"/>
      <c r="I2" s="2278"/>
      <c r="J2" s="2278"/>
      <c r="K2" s="2278"/>
      <c r="L2" s="47"/>
      <c r="M2" s="2278" t="str">
        <f>+A2</f>
        <v xml:space="preserve">AEP West SPP Member Operating Companies </v>
      </c>
      <c r="N2" s="2278"/>
      <c r="O2" s="2278"/>
      <c r="P2" s="2278"/>
      <c r="Q2" s="2278"/>
      <c r="R2" s="2278"/>
      <c r="S2" s="2278"/>
      <c r="T2" s="2278"/>
      <c r="U2" s="2278"/>
      <c r="V2" s="2278"/>
      <c r="W2" s="2278"/>
      <c r="X2" s="2278"/>
      <c r="Y2" s="2278"/>
    </row>
    <row r="3" spans="1:30" ht="15.5">
      <c r="A3" s="2278" t="str">
        <f>+'PSO WS A-1 - Plant'!A3</f>
        <v xml:space="preserve">Actual / Projected 2024 Rate Year Cost of Service Formula Rate </v>
      </c>
      <c r="B3" s="2278"/>
      <c r="C3" s="2278"/>
      <c r="D3" s="2278"/>
      <c r="E3" s="2278"/>
      <c r="F3" s="2278"/>
      <c r="G3" s="2278"/>
      <c r="H3" s="2278"/>
      <c r="I3" s="2278"/>
      <c r="J3" s="2278"/>
      <c r="K3" s="2278"/>
      <c r="L3" s="874"/>
      <c r="M3" s="2278" t="str">
        <f>+A3</f>
        <v xml:space="preserve">Actual / Projected 2024 Rate Year Cost of Service Formula Rate </v>
      </c>
      <c r="N3" s="2278"/>
      <c r="O3" s="2278"/>
      <c r="P3" s="2278"/>
      <c r="Q3" s="2278"/>
      <c r="R3" s="2278"/>
      <c r="S3" s="2278"/>
      <c r="T3" s="2278"/>
      <c r="U3" s="2278"/>
      <c r="V3" s="2278"/>
      <c r="W3" s="2278"/>
      <c r="X3" s="2278"/>
      <c r="Y3" s="2278"/>
    </row>
    <row r="4" spans="1:30" ht="15.5">
      <c r="A4" s="2279" t="s">
        <v>932</v>
      </c>
      <c r="B4" s="2278"/>
      <c r="C4" s="2278"/>
      <c r="D4" s="2278"/>
      <c r="E4" s="2278"/>
      <c r="F4" s="2278"/>
      <c r="G4" s="2278"/>
      <c r="H4" s="2278"/>
      <c r="I4" s="2278"/>
      <c r="J4" s="2278"/>
      <c r="K4" s="2278"/>
      <c r="L4" s="87"/>
      <c r="M4" s="2278" t="str">
        <f>+A4</f>
        <v>Worksheet D - Materials and Supplies and Prepayments</v>
      </c>
      <c r="N4" s="2278"/>
      <c r="O4" s="2278"/>
      <c r="P4" s="2278"/>
      <c r="Q4" s="2278"/>
      <c r="R4" s="2278"/>
      <c r="S4" s="2278"/>
      <c r="T4" s="2278"/>
      <c r="U4" s="2278"/>
      <c r="V4" s="2278"/>
      <c r="W4" s="2278"/>
      <c r="X4" s="2278"/>
      <c r="Y4" s="2278"/>
    </row>
    <row r="5" spans="1:30" ht="15.5">
      <c r="A5" s="2340" t="str">
        <f>+'PSO TCOS'!F8</f>
        <v>PUBLIC SERVICE COMPANY OF OKLAHOMA</v>
      </c>
      <c r="B5" s="2340"/>
      <c r="C5" s="2340"/>
      <c r="D5" s="2340"/>
      <c r="E5" s="2340"/>
      <c r="F5" s="2340"/>
      <c r="G5" s="2340"/>
      <c r="H5" s="2340"/>
      <c r="I5" s="2340"/>
      <c r="J5" s="2340"/>
      <c r="K5" s="2340"/>
      <c r="L5" s="115"/>
      <c r="M5" s="2279" t="str">
        <f>+A5</f>
        <v>PUBLIC SERVICE COMPANY OF OKLAHOMA</v>
      </c>
      <c r="N5" s="2279"/>
      <c r="O5" s="2279"/>
      <c r="P5" s="2279"/>
      <c r="Q5" s="2279"/>
      <c r="R5" s="2279"/>
      <c r="S5" s="2279"/>
      <c r="T5" s="2279"/>
      <c r="U5" s="2279"/>
      <c r="V5" s="2279"/>
      <c r="W5" s="2279"/>
      <c r="X5" s="2279"/>
      <c r="Y5" s="2279"/>
    </row>
    <row r="6" spans="1:30" ht="15.5">
      <c r="A6" s="115"/>
      <c r="B6" s="115"/>
      <c r="C6" s="115"/>
      <c r="D6" s="115"/>
      <c r="E6" s="115"/>
      <c r="F6" s="115"/>
      <c r="G6" s="115"/>
      <c r="H6" s="12"/>
      <c r="M6" s="115"/>
      <c r="N6" s="115"/>
      <c r="O6" s="115"/>
      <c r="P6" s="115"/>
      <c r="Q6" s="115"/>
      <c r="R6" s="115"/>
      <c r="S6" s="115"/>
      <c r="T6" s="115"/>
      <c r="U6" s="12"/>
    </row>
    <row r="7" spans="1:30" ht="12.75" customHeight="1">
      <c r="A7" s="875"/>
      <c r="B7" s="875" t="s">
        <v>301</v>
      </c>
      <c r="C7" s="875" t="s">
        <v>302</v>
      </c>
      <c r="D7" s="875" t="s">
        <v>205</v>
      </c>
      <c r="E7" s="875" t="s">
        <v>304</v>
      </c>
      <c r="F7" s="875"/>
      <c r="G7" s="875" t="s">
        <v>229</v>
      </c>
      <c r="H7" s="875"/>
      <c r="I7" s="875" t="s">
        <v>230</v>
      </c>
      <c r="J7" s="875" t="s">
        <v>231</v>
      </c>
      <c r="K7" s="875" t="s">
        <v>236</v>
      </c>
      <c r="L7" s="875"/>
      <c r="M7" s="875" t="s">
        <v>301</v>
      </c>
      <c r="N7" s="875" t="s">
        <v>302</v>
      </c>
      <c r="O7" s="875" t="s">
        <v>205</v>
      </c>
      <c r="P7" s="875" t="s">
        <v>304</v>
      </c>
      <c r="Q7" s="875" t="s">
        <v>229</v>
      </c>
      <c r="R7" s="875" t="s">
        <v>230</v>
      </c>
      <c r="S7" s="875" t="s">
        <v>231</v>
      </c>
      <c r="T7" s="875" t="s">
        <v>236</v>
      </c>
      <c r="U7" s="875" t="s">
        <v>177</v>
      </c>
      <c r="V7" s="875" t="s">
        <v>73</v>
      </c>
      <c r="W7" s="875" t="s">
        <v>881</v>
      </c>
      <c r="X7" s="875" t="s">
        <v>556</v>
      </c>
      <c r="Y7" s="875" t="s">
        <v>557</v>
      </c>
      <c r="Z7" s="875" t="s">
        <v>882</v>
      </c>
      <c r="AA7" s="875" t="s">
        <v>558</v>
      </c>
      <c r="AB7" s="875" t="s">
        <v>884</v>
      </c>
      <c r="AC7" s="875" t="s">
        <v>887</v>
      </c>
    </row>
    <row r="8" spans="1:30" ht="13">
      <c r="A8" s="876"/>
      <c r="M8" s="876"/>
    </row>
    <row r="9" spans="1:30" ht="18">
      <c r="A9" s="876"/>
      <c r="B9" s="2337" t="s">
        <v>346</v>
      </c>
      <c r="C9" s="2337"/>
      <c r="D9" s="2337"/>
      <c r="E9" s="2337"/>
      <c r="F9" s="2337"/>
      <c r="G9" s="2337"/>
      <c r="H9" s="2337"/>
      <c r="I9" s="2337"/>
      <c r="J9" s="2337"/>
      <c r="K9" s="2337"/>
      <c r="M9" s="2337" t="s">
        <v>346</v>
      </c>
      <c r="N9" s="2337"/>
      <c r="O9" s="2337"/>
      <c r="P9" s="2337"/>
      <c r="Q9" s="2337"/>
      <c r="R9" s="2337"/>
      <c r="S9" s="2337"/>
      <c r="T9" s="2337"/>
      <c r="U9" s="2337"/>
      <c r="V9" s="2337"/>
      <c r="W9" s="2337"/>
      <c r="X9" s="2337"/>
      <c r="Y9" s="2337"/>
      <c r="Z9" s="2337"/>
      <c r="AA9" s="2337"/>
      <c r="AB9" s="2337"/>
      <c r="AC9" s="2337"/>
    </row>
    <row r="10" spans="1:30" ht="13">
      <c r="A10" s="876"/>
      <c r="I10" s="12"/>
      <c r="J10" s="12"/>
    </row>
    <row r="11" spans="1:30" ht="30" customHeight="1">
      <c r="A11" s="16"/>
      <c r="B11" s="876"/>
      <c r="C11" s="877"/>
      <c r="D11" s="288"/>
      <c r="E11"/>
      <c r="F11"/>
      <c r="G11" s="2338" t="str">
        <f>"13 Month Average Balance for Rate Year "</f>
        <v xml:space="preserve">13 Month Average Balance for Rate Year </v>
      </c>
      <c r="H11" s="878"/>
      <c r="J11" s="12"/>
      <c r="K11" s="875"/>
      <c r="L11" s="16"/>
      <c r="M11" s="879"/>
      <c r="N11" s="879"/>
      <c r="O11" s="879"/>
      <c r="P11" s="879"/>
      <c r="Q11" s="2335" t="s">
        <v>880</v>
      </c>
      <c r="R11" s="2335"/>
      <c r="S11" s="2335"/>
      <c r="T11" s="2335"/>
      <c r="U11" s="2335"/>
      <c r="V11" s="2335"/>
      <c r="W11" s="2335"/>
      <c r="X11" s="2335"/>
      <c r="Y11" s="2335"/>
      <c r="Z11" s="2335"/>
      <c r="AA11" s="2335"/>
      <c r="AB11" s="2335"/>
      <c r="AC11" s="2335"/>
    </row>
    <row r="12" spans="1:30" ht="25.5">
      <c r="A12" s="880" t="s">
        <v>883</v>
      </c>
      <c r="B12" s="881"/>
      <c r="C12" s="876"/>
      <c r="D12" s="40" t="s">
        <v>345</v>
      </c>
      <c r="E12"/>
      <c r="F12"/>
      <c r="G12" s="2339"/>
      <c r="H12" s="882"/>
      <c r="J12" s="12"/>
      <c r="K12" s="883"/>
      <c r="L12" s="16" t="s">
        <v>883</v>
      </c>
      <c r="M12" s="16" t="s">
        <v>306</v>
      </c>
      <c r="N12" s="879"/>
      <c r="O12" s="884" t="s">
        <v>888</v>
      </c>
      <c r="P12" s="1386" t="s">
        <v>1227</v>
      </c>
      <c r="Q12" s="885" t="str">
        <f>"December "&amp;'PSO TCOS'!$N$2-1</f>
        <v>December 2023</v>
      </c>
      <c r="R12" s="885" t="str">
        <f>"January "&amp;'PSO TCOS'!$N$2</f>
        <v>January 2024</v>
      </c>
      <c r="S12" s="885" t="str">
        <f>"February "&amp;'PSO TCOS'!$N$2</f>
        <v>February 2024</v>
      </c>
      <c r="T12" s="885" t="str">
        <f>"March "&amp;'PSO TCOS'!$N$2</f>
        <v>March 2024</v>
      </c>
      <c r="U12" s="885" t="str">
        <f>"April "&amp;'PSO TCOS'!$N$2</f>
        <v>April 2024</v>
      </c>
      <c r="V12" s="885" t="str">
        <f>"May "&amp;'PSO TCOS'!$N$2</f>
        <v>May 2024</v>
      </c>
      <c r="W12" s="885" t="str">
        <f>"June "&amp;'PSO TCOS'!$N$2</f>
        <v>June 2024</v>
      </c>
      <c r="X12" s="885" t="str">
        <f>"July "&amp;'PSO TCOS'!$N$2</f>
        <v>July 2024</v>
      </c>
      <c r="Y12" s="885" t="str">
        <f>"August "&amp;'PSO TCOS'!$N$2</f>
        <v>August 2024</v>
      </c>
      <c r="Z12" s="885" t="str">
        <f>"September "&amp;'PSO TCOS'!$N$2</f>
        <v>September 2024</v>
      </c>
      <c r="AA12" s="885" t="str">
        <f>"October "&amp;'PSO TCOS'!$N$2</f>
        <v>October 2024</v>
      </c>
      <c r="AB12" s="885" t="str">
        <f>"November "&amp;'PSO TCOS'!$N$2</f>
        <v>November 2024</v>
      </c>
      <c r="AC12" s="885" t="str">
        <f>"December "&amp;'PSO TCOS'!$N$2</f>
        <v>December 2024</v>
      </c>
    </row>
    <row r="13" spans="1:30" ht="13">
      <c r="B13" s="881"/>
      <c r="C13" s="876"/>
      <c r="E13"/>
      <c r="F13"/>
      <c r="H13" s="886"/>
      <c r="J13" s="12"/>
      <c r="K13" s="883"/>
      <c r="L13" s="879"/>
      <c r="M13" s="879"/>
      <c r="N13" s="879"/>
      <c r="O13" s="879"/>
      <c r="P13" s="879"/>
      <c r="Q13" s="879"/>
    </row>
    <row r="14" spans="1:30">
      <c r="B14" s="881"/>
      <c r="D14" s="31"/>
      <c r="E14"/>
      <c r="F14"/>
      <c r="G14" s="20"/>
      <c r="H14" s="20"/>
      <c r="K14" s="20"/>
      <c r="L14" s="879"/>
      <c r="M14" s="879"/>
      <c r="N14" s="879"/>
      <c r="O14" s="879"/>
      <c r="P14" s="879"/>
      <c r="Q14" s="879"/>
    </row>
    <row r="15" spans="1:30">
      <c r="B15" s="881"/>
      <c r="C15" s="31"/>
      <c r="D15" s="31"/>
      <c r="E15"/>
      <c r="F15"/>
      <c r="G15" s="20"/>
      <c r="H15" s="20"/>
      <c r="K15" s="20"/>
      <c r="L15" s="879"/>
      <c r="M15" s="879"/>
      <c r="N15" s="879"/>
      <c r="O15" s="879"/>
      <c r="P15" s="887"/>
      <c r="Q15" s="879"/>
    </row>
    <row r="16" spans="1:30">
      <c r="A16" s="881">
        <v>1</v>
      </c>
      <c r="B16" s="881"/>
      <c r="C16" s="31" t="s">
        <v>195</v>
      </c>
      <c r="D16" s="888" t="s">
        <v>934</v>
      </c>
      <c r="E16"/>
      <c r="F16"/>
      <c r="G16" s="889">
        <f>P16</f>
        <v>820448.53728546388</v>
      </c>
      <c r="H16" s="20"/>
      <c r="K16" s="20"/>
      <c r="L16" s="879">
        <v>1</v>
      </c>
      <c r="M16" s="31" t="s">
        <v>195</v>
      </c>
      <c r="O16" s="890" t="s">
        <v>133</v>
      </c>
      <c r="P16" s="891">
        <f>SUM(Q16:AC16)/13</f>
        <v>820448.53728546388</v>
      </c>
      <c r="Q16" s="779">
        <v>807344.98</v>
      </c>
      <c r="R16" s="779">
        <v>284280.25</v>
      </c>
      <c r="S16" s="779">
        <v>428939.75</v>
      </c>
      <c r="T16" s="779">
        <v>200492.3</v>
      </c>
      <c r="U16" s="779">
        <v>3284699.79</v>
      </c>
      <c r="V16" s="779">
        <v>1042805.58</v>
      </c>
      <c r="W16" s="779">
        <v>525791.77</v>
      </c>
      <c r="X16" s="779">
        <v>680488.21</v>
      </c>
      <c r="Y16" s="779">
        <v>977643.02</v>
      </c>
      <c r="Z16" s="779">
        <v>697605.19</v>
      </c>
      <c r="AA16" s="779">
        <v>609775.4</v>
      </c>
      <c r="AB16" s="779">
        <v>256800.65</v>
      </c>
      <c r="AC16" s="779">
        <v>869164.09471102967</v>
      </c>
      <c r="AD16"/>
    </row>
    <row r="17" spans="1:31">
      <c r="A17" s="881">
        <f>+A16+1</f>
        <v>2</v>
      </c>
      <c r="B17" s="881"/>
      <c r="C17" s="31" t="s">
        <v>196</v>
      </c>
      <c r="D17" s="888" t="s">
        <v>936</v>
      </c>
      <c r="E17"/>
      <c r="F17"/>
      <c r="G17" s="889">
        <f>+P17</f>
        <v>1148121.6472138697</v>
      </c>
      <c r="H17" s="886"/>
      <c r="J17" s="12"/>
      <c r="K17" s="883"/>
      <c r="L17" s="881">
        <f>+L16+1</f>
        <v>2</v>
      </c>
      <c r="M17" s="31" t="s">
        <v>196</v>
      </c>
      <c r="O17" s="890" t="s">
        <v>134</v>
      </c>
      <c r="P17" s="891">
        <f>SUM(Q17:AC17)/13</f>
        <v>1148121.6472138697</v>
      </c>
      <c r="Q17" s="2458">
        <v>979262.71</v>
      </c>
      <c r="R17" s="2458">
        <v>454638.47</v>
      </c>
      <c r="S17" s="2458">
        <v>1182251.31</v>
      </c>
      <c r="T17" s="2458">
        <v>804836.8</v>
      </c>
      <c r="U17" s="2458">
        <v>213395.34</v>
      </c>
      <c r="V17" s="2458">
        <v>932795.49</v>
      </c>
      <c r="W17" s="2458">
        <v>7073267.0999999996</v>
      </c>
      <c r="X17" s="2458">
        <v>57994.29</v>
      </c>
      <c r="Y17" s="2458">
        <v>673046.66</v>
      </c>
      <c r="Z17" s="2458">
        <v>407193.05</v>
      </c>
      <c r="AA17" s="2458">
        <v>1567309</v>
      </c>
      <c r="AB17" s="2458">
        <v>40314</v>
      </c>
      <c r="AC17" s="2458">
        <v>539277.19378030917</v>
      </c>
      <c r="AD17"/>
    </row>
    <row r="18" spans="1:31">
      <c r="A18" s="881">
        <f>+A17+1</f>
        <v>3</v>
      </c>
      <c r="B18" s="881"/>
      <c r="C18" s="892" t="s">
        <v>933</v>
      </c>
      <c r="D18" s="888" t="s">
        <v>935</v>
      </c>
      <c r="E18"/>
      <c r="F18"/>
      <c r="G18" s="889">
        <f>+P18</f>
        <v>0</v>
      </c>
      <c r="H18" s="886"/>
      <c r="J18" s="12"/>
      <c r="K18" s="883"/>
      <c r="L18" s="881">
        <f>+L17+1</f>
        <v>3</v>
      </c>
      <c r="M18" s="892" t="s">
        <v>933</v>
      </c>
      <c r="O18" s="890" t="s">
        <v>135</v>
      </c>
      <c r="P18" s="891">
        <f>SUM(Q18:AC18)/13</f>
        <v>0</v>
      </c>
      <c r="Q18" s="786"/>
      <c r="R18" s="786"/>
      <c r="S18" s="786"/>
      <c r="T18" s="786"/>
      <c r="U18" s="786"/>
      <c r="V18" s="786"/>
      <c r="W18" s="786"/>
      <c r="X18" s="786"/>
      <c r="Y18" s="786"/>
      <c r="Z18" s="786"/>
      <c r="AA18" s="786"/>
      <c r="AB18" s="786"/>
      <c r="AC18" s="786"/>
      <c r="AD18"/>
    </row>
    <row r="19" spans="1:31">
      <c r="A19" s="873"/>
      <c r="G19" s="889"/>
      <c r="K19" s="883"/>
      <c r="M19" s="879"/>
      <c r="N19" s="879"/>
      <c r="O19" s="879"/>
      <c r="P19" s="887"/>
      <c r="Q19" s="879"/>
    </row>
    <row r="20" spans="1:31" ht="18">
      <c r="B20" s="2336" t="s">
        <v>879</v>
      </c>
      <c r="C20" s="2336"/>
      <c r="D20" s="2336"/>
      <c r="E20" s="2336"/>
      <c r="F20" s="2336"/>
      <c r="G20" s="2336"/>
      <c r="H20" s="2336"/>
      <c r="I20" s="2336"/>
      <c r="J20" s="2336"/>
      <c r="K20" s="2336"/>
      <c r="L20" s="881"/>
      <c r="M20" s="879"/>
      <c r="N20" s="879"/>
      <c r="O20" s="879"/>
      <c r="P20" s="879"/>
      <c r="Q20" s="879"/>
    </row>
    <row r="21" spans="1:31" ht="25.5" customHeight="1">
      <c r="B21" s="13"/>
      <c r="C21" s="20"/>
      <c r="D21" s="20"/>
      <c r="E21" s="15"/>
      <c r="G21" s="15" t="s">
        <v>232</v>
      </c>
      <c r="I21" s="13"/>
      <c r="J21" s="13"/>
      <c r="K21" s="761"/>
      <c r="L21" s="881"/>
      <c r="M21" s="2336" t="s">
        <v>879</v>
      </c>
      <c r="N21" s="2336"/>
      <c r="O21" s="2336"/>
      <c r="P21" s="2336"/>
      <c r="Q21" s="2336"/>
      <c r="R21" s="2336"/>
      <c r="S21" s="2336"/>
      <c r="T21" s="2336"/>
      <c r="U21" s="2336"/>
      <c r="V21" s="2336"/>
      <c r="W21" s="2336"/>
      <c r="X21" s="2336"/>
      <c r="Y21" s="2336"/>
      <c r="Z21" s="2336"/>
      <c r="AA21" s="2336"/>
      <c r="AB21" s="2336"/>
      <c r="AC21" s="2336"/>
    </row>
    <row r="22" spans="1:31" ht="26">
      <c r="B22" s="893"/>
      <c r="C22" s="894"/>
      <c r="D22" s="880" t="s">
        <v>1229</v>
      </c>
      <c r="E22" s="13" t="s">
        <v>198</v>
      </c>
      <c r="G22" s="13" t="s">
        <v>255</v>
      </c>
      <c r="I22" s="13" t="s">
        <v>193</v>
      </c>
      <c r="J22" s="13" t="s">
        <v>300</v>
      </c>
      <c r="K22" s="12"/>
      <c r="L22" s="881"/>
      <c r="M22" s="895" t="s">
        <v>886</v>
      </c>
      <c r="N22" s="879"/>
      <c r="O22" s="879"/>
      <c r="P22" s="879"/>
      <c r="Q22" s="2335" t="s">
        <v>880</v>
      </c>
      <c r="R22" s="2335"/>
      <c r="S22" s="2335"/>
      <c r="T22" s="2335"/>
      <c r="U22" s="2335"/>
      <c r="V22" s="2335"/>
      <c r="W22" s="2335"/>
      <c r="X22" s="2335"/>
      <c r="Y22" s="2335"/>
      <c r="Z22" s="2335"/>
      <c r="AA22" s="2335"/>
      <c r="AB22" s="2335"/>
      <c r="AC22" s="2335"/>
    </row>
    <row r="23" spans="1:31" ht="26">
      <c r="A23" s="880" t="s">
        <v>883</v>
      </c>
      <c r="B23" s="16" t="s">
        <v>235</v>
      </c>
      <c r="C23" s="16" t="s">
        <v>306</v>
      </c>
      <c r="D23" s="880" t="str">
        <f>"Source - Page 2 of 2. Col "&amp;P7</f>
        <v>Source - Page 2 of 2. Col (D)</v>
      </c>
      <c r="E23" s="16" t="s">
        <v>178</v>
      </c>
      <c r="G23" s="16" t="s">
        <v>194</v>
      </c>
      <c r="I23" s="16" t="s">
        <v>194</v>
      </c>
      <c r="J23" s="16" t="s">
        <v>194</v>
      </c>
      <c r="K23" s="16" t="s">
        <v>217</v>
      </c>
      <c r="L23" s="16" t="s">
        <v>883</v>
      </c>
      <c r="M23" s="16" t="s">
        <v>235</v>
      </c>
      <c r="N23" s="16" t="s">
        <v>306</v>
      </c>
      <c r="O23" s="40"/>
      <c r="P23" s="1386" t="s">
        <v>1227</v>
      </c>
      <c r="Q23" s="885" t="str">
        <f>"December "&amp;'PSO TCOS'!$N$2-1</f>
        <v>December 2023</v>
      </c>
      <c r="R23" s="885" t="str">
        <f>"January "&amp;'PSO TCOS'!$N$2</f>
        <v>January 2024</v>
      </c>
      <c r="S23" s="885" t="str">
        <f>"February "&amp;'PSO TCOS'!$N$2</f>
        <v>February 2024</v>
      </c>
      <c r="T23" s="885" t="str">
        <f>"March "&amp;'PSO TCOS'!$N$2</f>
        <v>March 2024</v>
      </c>
      <c r="U23" s="885" t="str">
        <f>"April "&amp;'PSO TCOS'!$N$2</f>
        <v>April 2024</v>
      </c>
      <c r="V23" s="885" t="str">
        <f>"May "&amp;'PSO TCOS'!$N$2</f>
        <v>May 2024</v>
      </c>
      <c r="W23" s="885" t="str">
        <f>"June "&amp;'PSO TCOS'!$N$2</f>
        <v>June 2024</v>
      </c>
      <c r="X23" s="885" t="str">
        <f>"July "&amp;'PSO TCOS'!$N$2</f>
        <v>July 2024</v>
      </c>
      <c r="Y23" s="885" t="str">
        <f>"August "&amp;'PSO TCOS'!$N$2</f>
        <v>August 2024</v>
      </c>
      <c r="Z23" s="885" t="str">
        <f>"September "&amp;'PSO TCOS'!$N$2</f>
        <v>September 2024</v>
      </c>
      <c r="AA23" s="885" t="str">
        <f>"October "&amp;'PSO TCOS'!$N$2</f>
        <v>October 2024</v>
      </c>
      <c r="AB23" s="885" t="str">
        <f>"November "&amp;'PSO TCOS'!$N$2</f>
        <v>November 2024</v>
      </c>
      <c r="AC23" s="885" t="str">
        <f>"December "&amp;'PSO TCOS'!$N$2</f>
        <v>December 2024</v>
      </c>
      <c r="AD23" s="879"/>
      <c r="AE23" s="879"/>
    </row>
    <row r="24" spans="1:31">
      <c r="B24" s="893"/>
      <c r="C24" s="20"/>
      <c r="D24" s="20"/>
      <c r="E24" s="20"/>
      <c r="G24" s="20"/>
      <c r="I24" s="20"/>
      <c r="J24" s="20"/>
      <c r="K24" s="12"/>
      <c r="L24" s="881"/>
      <c r="M24" s="879"/>
      <c r="N24" s="879"/>
      <c r="O24" s="879"/>
      <c r="P24" s="879"/>
      <c r="Q24" s="879"/>
    </row>
    <row r="25" spans="1:31" ht="37.5">
      <c r="A25" s="49">
        <f>+A18+1</f>
        <v>4</v>
      </c>
      <c r="B25" s="896" t="s">
        <v>589</v>
      </c>
      <c r="C25" s="896" t="s">
        <v>590</v>
      </c>
      <c r="D25" s="897">
        <f>+P25</f>
        <v>1626995.0924615385</v>
      </c>
      <c r="E25" s="889"/>
      <c r="F25" s="898"/>
      <c r="G25" s="812"/>
      <c r="H25" s="898"/>
      <c r="I25" s="2459">
        <v>1336695.0476923075</v>
      </c>
      <c r="J25" s="2459">
        <v>290300.044769231</v>
      </c>
      <c r="K25" s="899" t="s">
        <v>1237</v>
      </c>
      <c r="L25" s="49">
        <f>+L18+1</f>
        <v>4</v>
      </c>
      <c r="M25" s="896" t="str">
        <f t="shared" ref="M25:M45" si="0">+B25</f>
        <v>1650001</v>
      </c>
      <c r="N25" s="896" t="str">
        <f t="shared" ref="N25:N45" si="1">+C25</f>
        <v>Prepaid Insurance</v>
      </c>
      <c r="O25" s="896"/>
      <c r="P25" s="891">
        <f>SUM(Q25:AC25)/13</f>
        <v>1626995.0924615385</v>
      </c>
      <c r="Q25" s="779">
        <v>1456913.7439999999</v>
      </c>
      <c r="R25" s="779">
        <v>1219435.054</v>
      </c>
      <c r="S25" s="779">
        <v>981956.35400000005</v>
      </c>
      <c r="T25" s="779">
        <v>758647.924</v>
      </c>
      <c r="U25" s="779">
        <v>521012.16399999999</v>
      </c>
      <c r="V25" s="779">
        <v>629642.70400000003</v>
      </c>
      <c r="W25" s="779">
        <v>390744.68400000001</v>
      </c>
      <c r="X25" s="779">
        <v>3200950.9739999999</v>
      </c>
      <c r="Y25" s="779">
        <v>2942125.3640000001</v>
      </c>
      <c r="Z25" s="779">
        <v>2621430.4440000001</v>
      </c>
      <c r="AA25" s="779">
        <v>2428185.9339999999</v>
      </c>
      <c r="AB25" s="779">
        <v>2111082.1039999998</v>
      </c>
      <c r="AC25" s="779">
        <v>1888808.754</v>
      </c>
    </row>
    <row r="26" spans="1:31">
      <c r="A26" s="49">
        <f>+A25+1</f>
        <v>5</v>
      </c>
      <c r="B26" s="1790">
        <v>1650002</v>
      </c>
      <c r="C26" s="896" t="s">
        <v>1230</v>
      </c>
      <c r="D26" s="812">
        <f t="shared" ref="D26" si="2">+P26</f>
        <v>0</v>
      </c>
      <c r="E26" s="812">
        <f>+D26</f>
        <v>0</v>
      </c>
      <c r="F26" s="898"/>
      <c r="G26" s="812"/>
      <c r="H26" s="898"/>
      <c r="I26" s="812">
        <v>0</v>
      </c>
      <c r="J26" s="812"/>
      <c r="K26" s="899" t="s">
        <v>1230</v>
      </c>
      <c r="L26" s="49">
        <f>+L25+1</f>
        <v>5</v>
      </c>
      <c r="M26" s="1790">
        <f>+B26</f>
        <v>1650002</v>
      </c>
      <c r="N26" s="1790" t="str">
        <f>+C26</f>
        <v>Prepaid Taxes</v>
      </c>
      <c r="O26" s="896"/>
      <c r="P26" s="2108">
        <f>SUM(Q26:AC26)/13</f>
        <v>0</v>
      </c>
      <c r="Q26" s="779">
        <v>0</v>
      </c>
      <c r="R26" s="779">
        <v>0</v>
      </c>
      <c r="S26" s="779">
        <v>0</v>
      </c>
      <c r="T26" s="779">
        <v>0</v>
      </c>
      <c r="U26" s="779">
        <v>0</v>
      </c>
      <c r="V26" s="779">
        <v>0</v>
      </c>
      <c r="W26" s="779">
        <v>0</v>
      </c>
      <c r="X26" s="779">
        <v>0</v>
      </c>
      <c r="Y26" s="779">
        <v>0</v>
      </c>
      <c r="Z26" s="779">
        <v>0</v>
      </c>
      <c r="AA26" s="779">
        <v>0</v>
      </c>
      <c r="AB26" s="779">
        <v>0</v>
      </c>
      <c r="AC26" s="779">
        <v>0</v>
      </c>
    </row>
    <row r="27" spans="1:31">
      <c r="A27" s="49">
        <f>+A26+1</f>
        <v>6</v>
      </c>
      <c r="B27" s="896" t="s">
        <v>607</v>
      </c>
      <c r="C27" s="896" t="s">
        <v>608</v>
      </c>
      <c r="D27" s="889">
        <f t="shared" ref="D27:D45" si="3">+P27</f>
        <v>0</v>
      </c>
      <c r="E27" s="889"/>
      <c r="F27" s="898"/>
      <c r="G27" s="812"/>
      <c r="H27" s="898"/>
      <c r="I27" s="812"/>
      <c r="J27" s="812"/>
      <c r="K27" s="899"/>
      <c r="L27" s="49">
        <f>+L26+1</f>
        <v>6</v>
      </c>
      <c r="M27" s="896" t="str">
        <f t="shared" si="0"/>
        <v>1650004</v>
      </c>
      <c r="N27" s="896" t="str">
        <f t="shared" si="1"/>
        <v>Prepaid Interest</v>
      </c>
      <c r="O27" s="896"/>
      <c r="P27" s="2108">
        <f t="shared" ref="P27:P50" si="4">SUM(Q27:AC27)/13</f>
        <v>0</v>
      </c>
      <c r="Q27" s="779">
        <v>0</v>
      </c>
      <c r="R27" s="779">
        <v>0</v>
      </c>
      <c r="S27" s="779">
        <v>0</v>
      </c>
      <c r="T27" s="779">
        <v>0</v>
      </c>
      <c r="U27" s="779">
        <v>0</v>
      </c>
      <c r="V27" s="779">
        <v>0</v>
      </c>
      <c r="W27" s="779">
        <v>0</v>
      </c>
      <c r="X27" s="779">
        <v>0</v>
      </c>
      <c r="Y27" s="779">
        <v>0</v>
      </c>
      <c r="Z27" s="779">
        <v>0</v>
      </c>
      <c r="AA27" s="779">
        <v>0</v>
      </c>
      <c r="AB27" s="779">
        <v>0</v>
      </c>
      <c r="AC27" s="779">
        <v>0</v>
      </c>
    </row>
    <row r="28" spans="1:31">
      <c r="A28" s="49">
        <f t="shared" ref="A28:A50" si="5">+A27+1</f>
        <v>7</v>
      </c>
      <c r="B28" s="900" t="s">
        <v>591</v>
      </c>
      <c r="C28" s="896" t="s">
        <v>592</v>
      </c>
      <c r="D28" s="889">
        <f t="shared" si="3"/>
        <v>383243.84307692305</v>
      </c>
      <c r="E28" s="2460">
        <v>383243.84307692305</v>
      </c>
      <c r="F28" s="898"/>
      <c r="G28" s="812"/>
      <c r="H28" s="898"/>
      <c r="I28" s="812"/>
      <c r="J28" s="812"/>
      <c r="K28" s="899" t="s">
        <v>1238</v>
      </c>
      <c r="L28" s="49">
        <f t="shared" ref="L28:L50" si="6">+L27+1</f>
        <v>7</v>
      </c>
      <c r="M28" s="795" t="str">
        <f t="shared" si="0"/>
        <v>1650005</v>
      </c>
      <c r="N28" s="896" t="str">
        <f t="shared" si="1"/>
        <v>Prepaid Employee Benefits</v>
      </c>
      <c r="O28" s="896"/>
      <c r="P28" s="2108">
        <f t="shared" si="4"/>
        <v>383243.84307692305</v>
      </c>
      <c r="Q28" s="779">
        <v>0</v>
      </c>
      <c r="R28" s="779">
        <v>0</v>
      </c>
      <c r="S28" s="779">
        <v>0</v>
      </c>
      <c r="T28" s="779">
        <v>0</v>
      </c>
      <c r="U28" s="779">
        <v>0</v>
      </c>
      <c r="V28" s="779">
        <v>0</v>
      </c>
      <c r="W28" s="779">
        <v>0</v>
      </c>
      <c r="X28" s="779">
        <v>0</v>
      </c>
      <c r="Y28" s="779">
        <v>0</v>
      </c>
      <c r="Z28" s="779">
        <v>0</v>
      </c>
      <c r="AA28" s="779">
        <v>4982169.96</v>
      </c>
      <c r="AB28" s="779">
        <v>0</v>
      </c>
      <c r="AC28" s="779">
        <v>0</v>
      </c>
    </row>
    <row r="29" spans="1:31" ht="75">
      <c r="A29" s="49">
        <f t="shared" si="5"/>
        <v>8</v>
      </c>
      <c r="B29" s="896" t="s">
        <v>593</v>
      </c>
      <c r="C29" s="896" t="s">
        <v>594</v>
      </c>
      <c r="D29" s="889">
        <f t="shared" si="3"/>
        <v>1900560.813230769</v>
      </c>
      <c r="E29" s="889">
        <f>+D29</f>
        <v>1900560.813230769</v>
      </c>
      <c r="F29" s="898"/>
      <c r="G29" s="812"/>
      <c r="H29" s="898"/>
      <c r="I29" s="812"/>
      <c r="J29" s="812"/>
      <c r="K29" s="899" t="s">
        <v>1239</v>
      </c>
      <c r="L29" s="49">
        <f t="shared" si="6"/>
        <v>8</v>
      </c>
      <c r="M29" s="795" t="str">
        <f t="shared" si="0"/>
        <v>1650006</v>
      </c>
      <c r="N29" s="896" t="str">
        <f t="shared" si="1"/>
        <v>Other Prepayments</v>
      </c>
      <c r="O29" s="896"/>
      <c r="P29" s="2108">
        <f t="shared" si="4"/>
        <v>1900560.813230769</v>
      </c>
      <c r="Q29" s="779">
        <v>2183522.014</v>
      </c>
      <c r="R29" s="779">
        <v>614534.98400000005</v>
      </c>
      <c r="S29" s="779">
        <v>1176722.4539999999</v>
      </c>
      <c r="T29" s="779">
        <v>1528660.9240000001</v>
      </c>
      <c r="U29" s="779">
        <v>1581692.1939999999</v>
      </c>
      <c r="V29" s="779">
        <v>1802303.4639999999</v>
      </c>
      <c r="W29" s="779">
        <v>3210008.6839999999</v>
      </c>
      <c r="X29" s="779">
        <v>2931356.3739999998</v>
      </c>
      <c r="Y29" s="779">
        <v>2119834.8339999998</v>
      </c>
      <c r="Z29" s="779">
        <v>1939873.9040000001</v>
      </c>
      <c r="AA29" s="779">
        <v>1465711.594</v>
      </c>
      <c r="AB29" s="779">
        <v>1794869.284</v>
      </c>
      <c r="AC29" s="779">
        <v>2358199.8640000001</v>
      </c>
    </row>
    <row r="30" spans="1:31">
      <c r="A30" s="49">
        <f t="shared" si="5"/>
        <v>9</v>
      </c>
      <c r="B30" s="896" t="s">
        <v>595</v>
      </c>
      <c r="C30" s="896" t="s">
        <v>682</v>
      </c>
      <c r="D30" s="812">
        <f t="shared" si="3"/>
        <v>298170.75307692314</v>
      </c>
      <c r="E30" s="812">
        <f>+D30</f>
        <v>298170.75307692314</v>
      </c>
      <c r="F30" s="898"/>
      <c r="G30" s="812"/>
      <c r="H30" s="898"/>
      <c r="I30" s="812"/>
      <c r="J30" s="812"/>
      <c r="K30" s="899" t="s">
        <v>1240</v>
      </c>
      <c r="L30" s="49">
        <f t="shared" si="6"/>
        <v>9</v>
      </c>
      <c r="M30" s="795" t="str">
        <f t="shared" si="0"/>
        <v>1650009</v>
      </c>
      <c r="N30" s="896" t="str">
        <f t="shared" si="1"/>
        <v>Prepaid Carry Cost-Factored</v>
      </c>
      <c r="O30" s="896"/>
      <c r="P30" s="2108">
        <f t="shared" si="4"/>
        <v>298170.75307692314</v>
      </c>
      <c r="Q30" s="779">
        <v>370128.37</v>
      </c>
      <c r="R30" s="779">
        <v>511069.63</v>
      </c>
      <c r="S30" s="779">
        <v>336007.65</v>
      </c>
      <c r="T30" s="779">
        <v>186164.58000000002</v>
      </c>
      <c r="U30" s="779">
        <v>302166.35000000003</v>
      </c>
      <c r="V30" s="779">
        <v>276929.09000000003</v>
      </c>
      <c r="W30" s="779">
        <v>174648.12</v>
      </c>
      <c r="X30" s="779">
        <v>335458.45</v>
      </c>
      <c r="Y30" s="779">
        <v>227526.06</v>
      </c>
      <c r="Z30" s="779">
        <v>322086.91000000003</v>
      </c>
      <c r="AA30" s="779">
        <v>325032.68</v>
      </c>
      <c r="AB30" s="779">
        <v>237476.06</v>
      </c>
      <c r="AC30" s="779">
        <v>271525.84000000003</v>
      </c>
    </row>
    <row r="31" spans="1:31">
      <c r="A31" s="49">
        <f t="shared" si="5"/>
        <v>10</v>
      </c>
      <c r="B31" s="896" t="s">
        <v>596</v>
      </c>
      <c r="C31" s="896" t="s">
        <v>597</v>
      </c>
      <c r="D31" s="901">
        <f t="shared" si="3"/>
        <v>68243591.161538467</v>
      </c>
      <c r="E31" s="901"/>
      <c r="F31" s="898"/>
      <c r="G31" s="901"/>
      <c r="H31" s="898"/>
      <c r="I31" s="901"/>
      <c r="J31" s="901">
        <f>D31</f>
        <v>68243591.161538467</v>
      </c>
      <c r="K31" s="899" t="s">
        <v>1241</v>
      </c>
      <c r="L31" s="49">
        <f t="shared" si="6"/>
        <v>10</v>
      </c>
      <c r="M31" s="795" t="str">
        <f t="shared" si="0"/>
        <v>1650010</v>
      </c>
      <c r="N31" s="896" t="str">
        <f t="shared" si="1"/>
        <v>Prepaid Pension Benefits</v>
      </c>
      <c r="O31" s="896"/>
      <c r="P31" s="2108">
        <f t="shared" si="4"/>
        <v>68243591.161538467</v>
      </c>
      <c r="Q31" s="779">
        <v>68418230.189999998</v>
      </c>
      <c r="R31" s="779">
        <v>68513840.019999996</v>
      </c>
      <c r="S31" s="779">
        <v>68609449.849999994</v>
      </c>
      <c r="T31" s="779">
        <v>68720533.939999998</v>
      </c>
      <c r="U31" s="779">
        <v>68821301.859999999</v>
      </c>
      <c r="V31" s="779">
        <v>68922069.780000001</v>
      </c>
      <c r="W31" s="779">
        <v>69022837.700000003</v>
      </c>
      <c r="X31" s="779">
        <v>69123605.620000005</v>
      </c>
      <c r="Y31" s="779">
        <v>69224373.540000007</v>
      </c>
      <c r="Z31" s="779">
        <v>69325141.459999993</v>
      </c>
      <c r="AA31" s="779">
        <v>69425909.379999995</v>
      </c>
      <c r="AB31" s="779">
        <v>64555243.380000003</v>
      </c>
      <c r="AC31" s="779">
        <v>64484148.380000003</v>
      </c>
    </row>
    <row r="32" spans="1:31">
      <c r="A32" s="49">
        <f t="shared" si="5"/>
        <v>11</v>
      </c>
      <c r="B32" s="900" t="s">
        <v>1901</v>
      </c>
      <c r="C32" s="896" t="s">
        <v>598</v>
      </c>
      <c r="D32" s="812">
        <f t="shared" si="3"/>
        <v>3348902.1061538458</v>
      </c>
      <c r="E32" s="812">
        <f>+D32</f>
        <v>3348902.1061538458</v>
      </c>
      <c r="F32" s="898"/>
      <c r="G32" s="812"/>
      <c r="H32" s="898"/>
      <c r="I32" s="812"/>
      <c r="J32" s="812"/>
      <c r="K32" s="899" t="s">
        <v>598</v>
      </c>
      <c r="L32" s="49">
        <f t="shared" si="6"/>
        <v>11</v>
      </c>
      <c r="M32" s="795" t="str">
        <f t="shared" si="0"/>
        <v>165001123/24</v>
      </c>
      <c r="N32" s="896" t="str">
        <f t="shared" si="1"/>
        <v>Prepaid Sales Taxes</v>
      </c>
      <c r="O32" s="896"/>
      <c r="P32" s="2108">
        <f>SUM(Q32:AC32)/13</f>
        <v>3348902.1061538458</v>
      </c>
      <c r="Q32" s="779">
        <v>2917220.71</v>
      </c>
      <c r="R32" s="779">
        <v>3065264.29</v>
      </c>
      <c r="S32" s="779">
        <v>2836176.55</v>
      </c>
      <c r="T32" s="779">
        <v>2668188.35</v>
      </c>
      <c r="U32" s="779">
        <v>2459922.84</v>
      </c>
      <c r="V32" s="779">
        <v>2771659.0300000003</v>
      </c>
      <c r="W32" s="779">
        <v>3736124.86</v>
      </c>
      <c r="X32" s="779">
        <v>4393161.5999999996</v>
      </c>
      <c r="Y32" s="779">
        <v>4891438.95</v>
      </c>
      <c r="Z32" s="779">
        <v>4607841.3100000005</v>
      </c>
      <c r="AA32" s="779">
        <v>3229791.78</v>
      </c>
      <c r="AB32" s="779">
        <v>3070808.24</v>
      </c>
      <c r="AC32" s="779">
        <v>2888128.87</v>
      </c>
    </row>
    <row r="33" spans="1:29">
      <c r="A33" s="49">
        <f t="shared" si="5"/>
        <v>12</v>
      </c>
      <c r="B33" s="900" t="s">
        <v>1902</v>
      </c>
      <c r="C33" s="896" t="s">
        <v>599</v>
      </c>
      <c r="D33" s="812">
        <f t="shared" si="3"/>
        <v>341185.06846153841</v>
      </c>
      <c r="E33" s="812">
        <f>+D33</f>
        <v>341185.06846153841</v>
      </c>
      <c r="F33" s="898"/>
      <c r="G33" s="812"/>
      <c r="H33" s="898"/>
      <c r="I33" s="902"/>
      <c r="J33" s="902"/>
      <c r="K33" s="899" t="s">
        <v>599</v>
      </c>
      <c r="L33" s="49">
        <f t="shared" si="6"/>
        <v>12</v>
      </c>
      <c r="M33" s="795" t="str">
        <f t="shared" si="0"/>
        <v>165001223/24</v>
      </c>
      <c r="N33" s="896" t="str">
        <f t="shared" si="1"/>
        <v>Prepaid Use Taxes</v>
      </c>
      <c r="O33" s="896"/>
      <c r="P33" s="2108">
        <f t="shared" si="4"/>
        <v>341185.06846153841</v>
      </c>
      <c r="Q33" s="779">
        <v>269364.64</v>
      </c>
      <c r="R33" s="779">
        <v>228264.11000000002</v>
      </c>
      <c r="S33" s="779">
        <v>375646.42</v>
      </c>
      <c r="T33" s="779">
        <v>424884.86</v>
      </c>
      <c r="U33" s="779">
        <v>302269.03000000003</v>
      </c>
      <c r="V33" s="779">
        <v>411160.26</v>
      </c>
      <c r="W33" s="779">
        <v>281873.31</v>
      </c>
      <c r="X33" s="779">
        <v>217864.94</v>
      </c>
      <c r="Y33" s="779">
        <v>428004.89</v>
      </c>
      <c r="Z33" s="779">
        <v>372362.45</v>
      </c>
      <c r="AA33" s="779">
        <v>462326.11</v>
      </c>
      <c r="AB33" s="779">
        <v>371249.48</v>
      </c>
      <c r="AC33" s="779">
        <v>290135.39</v>
      </c>
    </row>
    <row r="34" spans="1:29" ht="37.5" customHeight="1">
      <c r="A34" s="49">
        <f t="shared" si="5"/>
        <v>13</v>
      </c>
      <c r="B34" s="896" t="s">
        <v>600</v>
      </c>
      <c r="C34" s="896" t="s">
        <v>601</v>
      </c>
      <c r="D34" s="812">
        <f t="shared" si="3"/>
        <v>-68243591.161538467</v>
      </c>
      <c r="E34" s="812">
        <f>D34</f>
        <v>-68243591.161538467</v>
      </c>
      <c r="F34" s="898"/>
      <c r="G34" s="812"/>
      <c r="H34" s="898"/>
      <c r="I34" s="812"/>
      <c r="J34" s="812"/>
      <c r="K34" s="899" t="s">
        <v>1242</v>
      </c>
      <c r="L34" s="49">
        <f t="shared" si="6"/>
        <v>13</v>
      </c>
      <c r="M34" s="795" t="str">
        <f t="shared" si="0"/>
        <v>1650014</v>
      </c>
      <c r="N34" s="896" t="str">
        <f t="shared" si="1"/>
        <v>FAS 158 Qual Contra Asset</v>
      </c>
      <c r="O34" s="896"/>
      <c r="P34" s="2108">
        <f t="shared" si="4"/>
        <v>-68243591.161538467</v>
      </c>
      <c r="Q34" s="779">
        <v>-68418230.189999998</v>
      </c>
      <c r="R34" s="779">
        <v>-68513840.019999996</v>
      </c>
      <c r="S34" s="779">
        <v>-68609449.849999994</v>
      </c>
      <c r="T34" s="779">
        <v>-68720533.939999998</v>
      </c>
      <c r="U34" s="779">
        <v>-68821301.859999999</v>
      </c>
      <c r="V34" s="779">
        <v>-68922069.780000001</v>
      </c>
      <c r="W34" s="779">
        <v>-69022837.700000003</v>
      </c>
      <c r="X34" s="779">
        <v>-69123605.620000005</v>
      </c>
      <c r="Y34" s="779">
        <v>-69224373.540000007</v>
      </c>
      <c r="Z34" s="779">
        <v>-69325141.459999993</v>
      </c>
      <c r="AA34" s="779">
        <v>-69425909.379999995</v>
      </c>
      <c r="AB34" s="779">
        <v>-64555243.380000003</v>
      </c>
      <c r="AC34" s="779">
        <v>-64484148.380000003</v>
      </c>
    </row>
    <row r="35" spans="1:29">
      <c r="A35" s="49">
        <f t="shared" si="5"/>
        <v>14</v>
      </c>
      <c r="B35" s="903">
        <v>1650016</v>
      </c>
      <c r="C35" s="896" t="s">
        <v>609</v>
      </c>
      <c r="D35" s="812">
        <f t="shared" si="3"/>
        <v>0</v>
      </c>
      <c r="E35" s="812">
        <f>+D35</f>
        <v>0</v>
      </c>
      <c r="F35" s="898"/>
      <c r="G35" s="812"/>
      <c r="H35" s="898"/>
      <c r="K35" s="899" t="s">
        <v>1243</v>
      </c>
      <c r="L35" s="49">
        <f t="shared" si="6"/>
        <v>14</v>
      </c>
      <c r="M35" s="795">
        <f t="shared" si="0"/>
        <v>1650016</v>
      </c>
      <c r="N35" s="896" t="str">
        <f t="shared" si="1"/>
        <v>FAS 112 ASSETS</v>
      </c>
      <c r="O35" s="896"/>
      <c r="P35" s="2108">
        <f t="shared" si="4"/>
        <v>0</v>
      </c>
      <c r="Q35" s="779">
        <v>0</v>
      </c>
      <c r="R35" s="779">
        <v>0</v>
      </c>
      <c r="S35" s="779">
        <v>0</v>
      </c>
      <c r="T35" s="779">
        <v>0</v>
      </c>
      <c r="U35" s="779">
        <v>0</v>
      </c>
      <c r="V35" s="779">
        <v>0</v>
      </c>
      <c r="W35" s="779">
        <v>0</v>
      </c>
      <c r="X35" s="779">
        <v>0</v>
      </c>
      <c r="Y35" s="779">
        <v>0</v>
      </c>
      <c r="Z35" s="779">
        <v>0</v>
      </c>
      <c r="AA35" s="779">
        <v>0</v>
      </c>
      <c r="AB35" s="779">
        <v>0</v>
      </c>
      <c r="AC35" s="779">
        <v>0</v>
      </c>
    </row>
    <row r="36" spans="1:29">
      <c r="A36" s="49">
        <f t="shared" si="5"/>
        <v>15</v>
      </c>
      <c r="B36" s="903">
        <v>1650021</v>
      </c>
      <c r="C36" s="896" t="s">
        <v>602</v>
      </c>
      <c r="D36" s="812">
        <f t="shared" si="3"/>
        <v>1908647.8530769227</v>
      </c>
      <c r="E36" s="812"/>
      <c r="F36" s="898"/>
      <c r="G36" s="812"/>
      <c r="H36" s="898"/>
      <c r="I36" s="2459">
        <v>1247948.5707692308</v>
      </c>
      <c r="J36" s="2459">
        <v>660699.28230769187</v>
      </c>
      <c r="K36" s="899" t="s">
        <v>1244</v>
      </c>
      <c r="L36" s="49">
        <f t="shared" si="6"/>
        <v>15</v>
      </c>
      <c r="M36" s="795">
        <f t="shared" si="0"/>
        <v>1650021</v>
      </c>
      <c r="N36" s="896" t="str">
        <f t="shared" si="1"/>
        <v>Prepaid Insurance - EIS</v>
      </c>
      <c r="O36" s="896"/>
      <c r="P36" s="2108">
        <f t="shared" si="4"/>
        <v>1908647.8530769227</v>
      </c>
      <c r="Q36" s="779">
        <v>1418782.53</v>
      </c>
      <c r="R36" s="779">
        <v>1111863.02</v>
      </c>
      <c r="S36" s="779">
        <v>804943.57000000007</v>
      </c>
      <c r="T36" s="779">
        <v>2003593.23</v>
      </c>
      <c r="U36" s="779">
        <v>1675094.74</v>
      </c>
      <c r="V36" s="779">
        <v>1346596.25</v>
      </c>
      <c r="W36" s="779">
        <v>1018097.86</v>
      </c>
      <c r="X36" s="779">
        <v>3478504.24</v>
      </c>
      <c r="Y36" s="779">
        <v>3115999.27</v>
      </c>
      <c r="Z36" s="779">
        <v>2753494.3</v>
      </c>
      <c r="AA36" s="779">
        <v>2390989.33</v>
      </c>
      <c r="AB36" s="779">
        <v>2028484.36</v>
      </c>
      <c r="AC36" s="779">
        <v>1665979.3900000001</v>
      </c>
    </row>
    <row r="37" spans="1:29">
      <c r="A37" s="49">
        <f t="shared" si="5"/>
        <v>16</v>
      </c>
      <c r="B37" s="903">
        <v>1650023</v>
      </c>
      <c r="C37" s="896" t="s">
        <v>610</v>
      </c>
      <c r="D37" s="812">
        <f t="shared" si="3"/>
        <v>30000</v>
      </c>
      <c r="E37" s="812">
        <f>+D37</f>
        <v>30000</v>
      </c>
      <c r="F37" s="898"/>
      <c r="G37" s="812"/>
      <c r="H37" s="898"/>
      <c r="I37" s="812"/>
      <c r="J37" s="812"/>
      <c r="K37" s="777" t="s">
        <v>1245</v>
      </c>
      <c r="L37" s="49">
        <f t="shared" si="6"/>
        <v>16</v>
      </c>
      <c r="M37" s="795">
        <f t="shared" si="0"/>
        <v>1650023</v>
      </c>
      <c r="N37" s="896" t="str">
        <f t="shared" si="1"/>
        <v>Prepaid Leases</v>
      </c>
      <c r="O37" s="896"/>
      <c r="P37" s="2108">
        <f t="shared" si="4"/>
        <v>30000</v>
      </c>
      <c r="Q37" s="779">
        <v>60000</v>
      </c>
      <c r="R37" s="779">
        <v>55000</v>
      </c>
      <c r="S37" s="779">
        <v>50000</v>
      </c>
      <c r="T37" s="779">
        <v>45000</v>
      </c>
      <c r="U37" s="779">
        <v>40000</v>
      </c>
      <c r="V37" s="779">
        <v>35000</v>
      </c>
      <c r="W37" s="779">
        <v>30000</v>
      </c>
      <c r="X37" s="779">
        <v>25000</v>
      </c>
      <c r="Y37" s="779">
        <v>20000</v>
      </c>
      <c r="Z37" s="779">
        <v>15000</v>
      </c>
      <c r="AA37" s="779">
        <v>10000</v>
      </c>
      <c r="AB37" s="779">
        <v>5000</v>
      </c>
      <c r="AC37" s="779">
        <v>0</v>
      </c>
    </row>
    <row r="38" spans="1:29">
      <c r="A38" s="49">
        <f t="shared" si="5"/>
        <v>17</v>
      </c>
      <c r="B38" s="903">
        <v>1650028</v>
      </c>
      <c r="C38" s="896" t="s">
        <v>683</v>
      </c>
      <c r="D38" s="812">
        <f t="shared" si="3"/>
        <v>0</v>
      </c>
      <c r="E38" s="812">
        <f>+D38</f>
        <v>0</v>
      </c>
      <c r="F38" s="898"/>
      <c r="G38" s="812"/>
      <c r="H38" s="898"/>
      <c r="I38"/>
      <c r="J38"/>
      <c r="K38" s="777"/>
      <c r="L38" s="49">
        <f t="shared" si="6"/>
        <v>17</v>
      </c>
      <c r="M38" s="795">
        <f t="shared" si="0"/>
        <v>1650028</v>
      </c>
      <c r="N38" s="896" t="str">
        <f t="shared" si="1"/>
        <v>Trinity Rail Car Lease - Non-current</v>
      </c>
      <c r="O38" s="896"/>
      <c r="P38" s="2108">
        <f t="shared" si="4"/>
        <v>0</v>
      </c>
      <c r="Q38" s="779">
        <v>0</v>
      </c>
      <c r="R38" s="779">
        <v>0</v>
      </c>
      <c r="S38" s="779">
        <v>0</v>
      </c>
      <c r="T38" s="779">
        <v>0</v>
      </c>
      <c r="U38" s="779">
        <v>0</v>
      </c>
      <c r="V38" s="779">
        <v>0</v>
      </c>
      <c r="W38" s="779">
        <v>0</v>
      </c>
      <c r="X38" s="779">
        <v>0</v>
      </c>
      <c r="Y38" s="779">
        <v>0</v>
      </c>
      <c r="Z38" s="779">
        <v>0</v>
      </c>
      <c r="AA38" s="779">
        <v>0</v>
      </c>
      <c r="AB38" s="779">
        <v>0</v>
      </c>
      <c r="AC38" s="779">
        <v>0</v>
      </c>
    </row>
    <row r="39" spans="1:29">
      <c r="A39" s="49">
        <f t="shared" si="5"/>
        <v>18</v>
      </c>
      <c r="B39" s="903">
        <v>1650031</v>
      </c>
      <c r="C39" s="896" t="s">
        <v>603</v>
      </c>
      <c r="D39" s="812">
        <f t="shared" si="3"/>
        <v>0</v>
      </c>
      <c r="E39" s="812"/>
      <c r="F39" s="898"/>
      <c r="G39" s="812"/>
      <c r="H39" s="898"/>
      <c r="I39" s="812"/>
      <c r="J39" s="812">
        <f t="shared" ref="J39:J44" si="7">+D39</f>
        <v>0</v>
      </c>
      <c r="K39" s="777"/>
      <c r="L39" s="49">
        <f t="shared" si="6"/>
        <v>18</v>
      </c>
      <c r="M39" s="795">
        <f t="shared" si="0"/>
        <v>1650031</v>
      </c>
      <c r="N39" s="896" t="str">
        <f t="shared" si="1"/>
        <v>Prepaid OCIP Work Comp</v>
      </c>
      <c r="O39" s="896"/>
      <c r="P39" s="2108">
        <f t="shared" si="4"/>
        <v>0</v>
      </c>
      <c r="Q39" s="779">
        <v>0</v>
      </c>
      <c r="R39" s="779">
        <v>0</v>
      </c>
      <c r="S39" s="779">
        <v>0</v>
      </c>
      <c r="T39" s="779">
        <v>0</v>
      </c>
      <c r="U39" s="779">
        <v>0</v>
      </c>
      <c r="V39" s="779">
        <v>0</v>
      </c>
      <c r="W39" s="779">
        <v>0</v>
      </c>
      <c r="X39" s="779">
        <v>0</v>
      </c>
      <c r="Y39" s="779">
        <v>0</v>
      </c>
      <c r="Z39" s="779">
        <v>0</v>
      </c>
      <c r="AA39" s="779">
        <v>0</v>
      </c>
      <c r="AB39" s="779">
        <v>0</v>
      </c>
      <c r="AC39" s="779">
        <v>0</v>
      </c>
    </row>
    <row r="40" spans="1:29">
      <c r="A40" s="49">
        <f t="shared" si="5"/>
        <v>19</v>
      </c>
      <c r="B40" s="903">
        <v>1650032</v>
      </c>
      <c r="C40" s="896" t="s">
        <v>611</v>
      </c>
      <c r="D40" s="812">
        <f t="shared" si="3"/>
        <v>0</v>
      </c>
      <c r="E40" s="812"/>
      <c r="F40" s="898"/>
      <c r="G40" s="812"/>
      <c r="H40" s="898"/>
      <c r="I40" s="812"/>
      <c r="J40" s="812">
        <f t="shared" si="7"/>
        <v>0</v>
      </c>
      <c r="K40" s="777"/>
      <c r="L40" s="49">
        <f t="shared" si="6"/>
        <v>19</v>
      </c>
      <c r="M40" s="795">
        <f t="shared" si="0"/>
        <v>1650032</v>
      </c>
      <c r="N40" s="896" t="str">
        <f t="shared" si="1"/>
        <v>Prepaid OCIP Work Comp-Long Term</v>
      </c>
      <c r="O40" s="896"/>
      <c r="P40" s="2108">
        <f t="shared" si="4"/>
        <v>0</v>
      </c>
      <c r="Q40" s="779">
        <v>0</v>
      </c>
      <c r="R40" s="779">
        <v>0</v>
      </c>
      <c r="S40" s="779">
        <v>0</v>
      </c>
      <c r="T40" s="779">
        <v>0</v>
      </c>
      <c r="U40" s="779">
        <v>0</v>
      </c>
      <c r="V40" s="779">
        <v>0</v>
      </c>
      <c r="W40" s="779">
        <v>0</v>
      </c>
      <c r="X40" s="779">
        <v>0</v>
      </c>
      <c r="Y40" s="779">
        <v>0</v>
      </c>
      <c r="Z40" s="779">
        <v>0</v>
      </c>
      <c r="AA40" s="779">
        <v>0</v>
      </c>
      <c r="AB40" s="779">
        <v>0</v>
      </c>
      <c r="AC40" s="779">
        <v>0</v>
      </c>
    </row>
    <row r="41" spans="1:29">
      <c r="A41" s="49">
        <f t="shared" si="5"/>
        <v>20</v>
      </c>
      <c r="B41" s="903">
        <v>1650033</v>
      </c>
      <c r="C41" s="896" t="s">
        <v>612</v>
      </c>
      <c r="D41" s="812">
        <f t="shared" si="3"/>
        <v>0</v>
      </c>
      <c r="E41" s="812"/>
      <c r="F41" s="898"/>
      <c r="G41" s="812"/>
      <c r="H41" s="898"/>
      <c r="I41" s="812"/>
      <c r="J41" s="812">
        <f t="shared" si="7"/>
        <v>0</v>
      </c>
      <c r="K41" s="777"/>
      <c r="L41" s="49">
        <f t="shared" si="6"/>
        <v>20</v>
      </c>
      <c r="M41" s="795">
        <f t="shared" si="0"/>
        <v>1650033</v>
      </c>
      <c r="N41" s="896" t="str">
        <f t="shared" si="1"/>
        <v>Prepaid OCIP Work Comp-Affiliated</v>
      </c>
      <c r="O41" s="896"/>
      <c r="P41" s="2108">
        <f t="shared" si="4"/>
        <v>0</v>
      </c>
      <c r="Q41" s="779">
        <v>0</v>
      </c>
      <c r="R41" s="779">
        <v>0</v>
      </c>
      <c r="S41" s="779">
        <v>0</v>
      </c>
      <c r="T41" s="779">
        <v>0</v>
      </c>
      <c r="U41" s="779">
        <v>0</v>
      </c>
      <c r="V41" s="779">
        <v>0</v>
      </c>
      <c r="W41" s="779">
        <v>0</v>
      </c>
      <c r="X41" s="779">
        <v>0</v>
      </c>
      <c r="Y41" s="779">
        <v>0</v>
      </c>
      <c r="Z41" s="779">
        <v>0</v>
      </c>
      <c r="AA41" s="779">
        <v>0</v>
      </c>
      <c r="AB41" s="779">
        <v>0</v>
      </c>
      <c r="AC41" s="779">
        <v>0</v>
      </c>
    </row>
    <row r="42" spans="1:29">
      <c r="A42" s="49">
        <f t="shared" si="5"/>
        <v>21</v>
      </c>
      <c r="B42" s="903">
        <v>1650034</v>
      </c>
      <c r="C42" s="896" t="s">
        <v>613</v>
      </c>
      <c r="D42" s="812">
        <f t="shared" si="3"/>
        <v>0</v>
      </c>
      <c r="E42" s="812"/>
      <c r="F42" s="898"/>
      <c r="G42" s="812"/>
      <c r="H42" s="898"/>
      <c r="I42" s="812"/>
      <c r="J42" s="812">
        <f t="shared" si="7"/>
        <v>0</v>
      </c>
      <c r="K42" s="777"/>
      <c r="L42" s="49">
        <f t="shared" si="6"/>
        <v>21</v>
      </c>
      <c r="M42" s="795">
        <f t="shared" si="0"/>
        <v>1650034</v>
      </c>
      <c r="N42" s="896" t="str">
        <f t="shared" si="1"/>
        <v>Prepaid OCIP Work Comp-Affiliated Long Term</v>
      </c>
      <c r="O42" s="896"/>
      <c r="P42" s="2108">
        <f t="shared" si="4"/>
        <v>0</v>
      </c>
      <c r="Q42" s="779">
        <v>0</v>
      </c>
      <c r="R42" s="779">
        <v>0</v>
      </c>
      <c r="S42" s="779">
        <v>0</v>
      </c>
      <c r="T42" s="779">
        <v>0</v>
      </c>
      <c r="U42" s="779">
        <v>0</v>
      </c>
      <c r="V42" s="779">
        <v>0</v>
      </c>
      <c r="W42" s="779">
        <v>0</v>
      </c>
      <c r="X42" s="779">
        <v>0</v>
      </c>
      <c r="Y42" s="779">
        <v>0</v>
      </c>
      <c r="Z42" s="779">
        <v>0</v>
      </c>
      <c r="AA42" s="779">
        <v>0</v>
      </c>
      <c r="AB42" s="779">
        <v>0</v>
      </c>
      <c r="AC42" s="779">
        <v>0</v>
      </c>
    </row>
    <row r="43" spans="1:29" ht="27" customHeight="1">
      <c r="A43" s="49">
        <f t="shared" si="5"/>
        <v>22</v>
      </c>
      <c r="B43" s="903">
        <v>1650035</v>
      </c>
      <c r="C43" s="896" t="s">
        <v>604</v>
      </c>
      <c r="D43" s="812">
        <f t="shared" si="3"/>
        <v>64511142.707153834</v>
      </c>
      <c r="E43" s="812"/>
      <c r="F43" s="898"/>
      <c r="G43" s="812"/>
      <c r="H43" s="898"/>
      <c r="I43" s="812"/>
      <c r="J43" s="901">
        <f t="shared" si="7"/>
        <v>64511142.707153834</v>
      </c>
      <c r="K43" s="904" t="s">
        <v>1246</v>
      </c>
      <c r="L43" s="49">
        <f t="shared" si="6"/>
        <v>22</v>
      </c>
      <c r="M43" s="795">
        <f t="shared" si="0"/>
        <v>1650035</v>
      </c>
      <c r="N43" s="896" t="str">
        <f t="shared" si="1"/>
        <v>PRW Without MED-D Benefits</v>
      </c>
      <c r="O43" s="896"/>
      <c r="P43" s="2108">
        <f t="shared" si="4"/>
        <v>64511142.707153834</v>
      </c>
      <c r="Q43" s="779">
        <v>62518248.950999998</v>
      </c>
      <c r="R43" s="779">
        <v>62859237.571000002</v>
      </c>
      <c r="S43" s="779">
        <v>63203532.641000003</v>
      </c>
      <c r="T43" s="779">
        <v>63565612.011</v>
      </c>
      <c r="U43" s="779">
        <v>63902161.770999998</v>
      </c>
      <c r="V43" s="779">
        <v>64250960.660999998</v>
      </c>
      <c r="W43" s="779">
        <v>64431073.891000003</v>
      </c>
      <c r="X43" s="779">
        <v>64779298.730999999</v>
      </c>
      <c r="Y43" s="779">
        <v>65130157.531000003</v>
      </c>
      <c r="Z43" s="779">
        <v>65478556.541000001</v>
      </c>
      <c r="AA43" s="779">
        <v>65826311.730999999</v>
      </c>
      <c r="AB43" s="779">
        <v>66175368.721000001</v>
      </c>
      <c r="AC43" s="779">
        <v>66524334.441</v>
      </c>
    </row>
    <row r="44" spans="1:29">
      <c r="A44" s="49">
        <f t="shared" si="5"/>
        <v>23</v>
      </c>
      <c r="B44" s="903">
        <v>1650036</v>
      </c>
      <c r="C44" s="896" t="s">
        <v>605</v>
      </c>
      <c r="D44" s="812">
        <f t="shared" si="3"/>
        <v>0</v>
      </c>
      <c r="E44" s="812"/>
      <c r="F44" s="898"/>
      <c r="G44" s="812"/>
      <c r="H44" s="898"/>
      <c r="I44" s="812"/>
      <c r="J44" s="901">
        <f t="shared" si="7"/>
        <v>0</v>
      </c>
      <c r="K44" s="777"/>
      <c r="L44" s="49">
        <f t="shared" si="6"/>
        <v>23</v>
      </c>
      <c r="M44" s="795">
        <f t="shared" si="0"/>
        <v>1650036</v>
      </c>
      <c r="N44" s="896" t="str">
        <f t="shared" si="1"/>
        <v>PRW for Med-D Benefits</v>
      </c>
      <c r="O44" s="896"/>
      <c r="P44" s="2108">
        <f t="shared" si="4"/>
        <v>0</v>
      </c>
      <c r="Q44" s="779">
        <v>0</v>
      </c>
      <c r="R44" s="779">
        <v>0</v>
      </c>
      <c r="S44" s="779">
        <v>0</v>
      </c>
      <c r="T44" s="779">
        <v>0</v>
      </c>
      <c r="U44" s="779">
        <v>0</v>
      </c>
      <c r="V44" s="779">
        <v>0</v>
      </c>
      <c r="W44" s="779">
        <v>0</v>
      </c>
      <c r="X44" s="779">
        <v>0</v>
      </c>
      <c r="Y44" s="779">
        <v>0</v>
      </c>
      <c r="Z44" s="779">
        <v>0</v>
      </c>
      <c r="AA44" s="779">
        <v>0</v>
      </c>
      <c r="AB44" s="779">
        <v>0</v>
      </c>
      <c r="AC44" s="779">
        <v>0</v>
      </c>
    </row>
    <row r="45" spans="1:29" ht="24.75" customHeight="1">
      <c r="A45" s="49">
        <f t="shared" si="5"/>
        <v>24</v>
      </c>
      <c r="B45" s="903">
        <v>1650037</v>
      </c>
      <c r="C45" s="896" t="s">
        <v>614</v>
      </c>
      <c r="D45" s="812">
        <f t="shared" si="3"/>
        <v>-64511142.706153855</v>
      </c>
      <c r="E45" s="812">
        <f>+D45</f>
        <v>-64511142.706153855</v>
      </c>
      <c r="F45" s="898"/>
      <c r="G45" s="812"/>
      <c r="H45" s="898"/>
      <c r="I45" s="812"/>
      <c r="J45" s="901"/>
      <c r="K45" s="777" t="s">
        <v>1247</v>
      </c>
      <c r="L45" s="49">
        <f t="shared" si="6"/>
        <v>24</v>
      </c>
      <c r="M45" s="795">
        <f t="shared" si="0"/>
        <v>1650037</v>
      </c>
      <c r="N45" s="896" t="str">
        <f t="shared" si="1"/>
        <v>FAS158 Contra-PRW Exclude Med-D</v>
      </c>
      <c r="O45" s="896"/>
      <c r="P45" s="2108">
        <f t="shared" si="4"/>
        <v>-64511142.706153855</v>
      </c>
      <c r="Q45" s="779">
        <v>-62518248.950000003</v>
      </c>
      <c r="R45" s="779">
        <v>-62859237.57</v>
      </c>
      <c r="S45" s="779">
        <v>-63203532.640000001</v>
      </c>
      <c r="T45" s="779">
        <v>-63565612.009999998</v>
      </c>
      <c r="U45" s="779">
        <v>-63902161.770000003</v>
      </c>
      <c r="V45" s="779">
        <v>-64250960.659999996</v>
      </c>
      <c r="W45" s="779">
        <v>-64431073.890000001</v>
      </c>
      <c r="X45" s="779">
        <v>-64779298.729999997</v>
      </c>
      <c r="Y45" s="779">
        <v>-65130157.530000001</v>
      </c>
      <c r="Z45" s="779">
        <v>-65478556.539999999</v>
      </c>
      <c r="AA45" s="779">
        <v>-65826311.729999997</v>
      </c>
      <c r="AB45" s="779">
        <v>-66175368.719999999</v>
      </c>
      <c r="AC45" s="779">
        <v>-66524334.439999998</v>
      </c>
    </row>
    <row r="46" spans="1:29">
      <c r="A46" s="49">
        <f t="shared" si="5"/>
        <v>25</v>
      </c>
      <c r="B46" s="903"/>
      <c r="C46" s="896"/>
      <c r="D46" s="812"/>
      <c r="E46" s="812"/>
      <c r="F46" s="898"/>
      <c r="G46" s="812"/>
      <c r="H46" s="898"/>
      <c r="I46" s="812"/>
      <c r="J46" s="901"/>
      <c r="K46" s="777"/>
      <c r="L46" s="49">
        <f t="shared" si="6"/>
        <v>25</v>
      </c>
      <c r="M46" s="795"/>
      <c r="N46" s="905"/>
      <c r="O46" s="905"/>
      <c r="P46" s="2108">
        <f t="shared" si="4"/>
        <v>0</v>
      </c>
      <c r="Q46" s="779"/>
      <c r="R46" s="779"/>
      <c r="S46" s="779"/>
      <c r="T46" s="779"/>
      <c r="U46" s="779"/>
      <c r="V46" s="779"/>
      <c r="W46" s="779"/>
      <c r="X46" s="779"/>
      <c r="Y46" s="779"/>
      <c r="Z46" s="779"/>
      <c r="AA46" s="779"/>
      <c r="AB46" s="779"/>
      <c r="AC46" s="779"/>
    </row>
    <row r="47" spans="1:29">
      <c r="A47" s="49">
        <f t="shared" si="5"/>
        <v>26</v>
      </c>
      <c r="B47" s="906"/>
      <c r="C47" s="907"/>
      <c r="D47" s="812"/>
      <c r="E47" s="812"/>
      <c r="F47" s="908"/>
      <c r="G47" s="909"/>
      <c r="H47" s="908"/>
      <c r="I47" s="909"/>
      <c r="J47" s="909"/>
      <c r="K47" s="807"/>
      <c r="L47" s="49">
        <f t="shared" si="6"/>
        <v>26</v>
      </c>
      <c r="M47" s="795"/>
      <c r="N47" s="905"/>
      <c r="O47" s="905"/>
      <c r="P47" s="2108">
        <f t="shared" si="4"/>
        <v>0</v>
      </c>
      <c r="Q47" s="808"/>
      <c r="R47" s="808"/>
      <c r="S47" s="808"/>
      <c r="T47" s="808"/>
      <c r="U47" s="808"/>
      <c r="V47" s="808"/>
      <c r="W47" s="808"/>
      <c r="X47" s="808"/>
      <c r="Y47" s="808"/>
      <c r="Z47" s="808"/>
      <c r="AA47" s="808"/>
      <c r="AB47" s="808"/>
      <c r="AC47" s="808"/>
    </row>
    <row r="48" spans="1:29">
      <c r="A48" s="49">
        <f t="shared" si="5"/>
        <v>27</v>
      </c>
      <c r="B48" s="903"/>
      <c r="C48" s="896"/>
      <c r="D48" s="812"/>
      <c r="E48" s="812"/>
      <c r="F48" s="898"/>
      <c r="G48" s="812"/>
      <c r="H48" s="898"/>
      <c r="I48" s="812"/>
      <c r="J48" s="901"/>
      <c r="K48" s="777"/>
      <c r="L48" s="49">
        <f t="shared" si="6"/>
        <v>27</v>
      </c>
      <c r="M48" s="795"/>
      <c r="N48" s="905"/>
      <c r="O48" s="905"/>
      <c r="P48" s="2108">
        <f t="shared" si="4"/>
        <v>0</v>
      </c>
      <c r="Q48" s="779"/>
      <c r="R48" s="779"/>
      <c r="S48" s="779"/>
      <c r="T48" s="779"/>
      <c r="U48" s="779"/>
      <c r="V48" s="779"/>
      <c r="W48" s="779"/>
      <c r="X48" s="779"/>
      <c r="Y48" s="779"/>
      <c r="Z48" s="779"/>
      <c r="AA48" s="779"/>
      <c r="AB48" s="779"/>
      <c r="AC48" s="779"/>
    </row>
    <row r="49" spans="1:29">
      <c r="A49" s="49">
        <f t="shared" si="5"/>
        <v>28</v>
      </c>
      <c r="B49" s="903"/>
      <c r="C49" s="896"/>
      <c r="D49" s="812"/>
      <c r="E49" s="812"/>
      <c r="F49" s="898"/>
      <c r="G49" s="812"/>
      <c r="H49" s="898"/>
      <c r="I49" s="812"/>
      <c r="J49" s="910"/>
      <c r="K49" s="777"/>
      <c r="L49" s="49">
        <f t="shared" si="6"/>
        <v>28</v>
      </c>
      <c r="M49" s="795"/>
      <c r="N49" s="905"/>
      <c r="O49" s="905"/>
      <c r="P49" s="2108">
        <f t="shared" si="4"/>
        <v>0</v>
      </c>
      <c r="Q49" s="779"/>
      <c r="R49" s="779"/>
      <c r="S49" s="779"/>
      <c r="T49" s="779"/>
      <c r="U49" s="779"/>
      <c r="V49" s="779"/>
      <c r="W49" s="779"/>
      <c r="X49" s="779"/>
      <c r="Y49" s="779"/>
      <c r="Z49" s="779"/>
      <c r="AA49" s="779"/>
      <c r="AB49" s="779"/>
      <c r="AC49" s="779"/>
    </row>
    <row r="50" spans="1:29">
      <c r="A50" s="49">
        <f t="shared" si="5"/>
        <v>29</v>
      </c>
      <c r="B50" s="903"/>
      <c r="C50" s="896"/>
      <c r="D50" s="812"/>
      <c r="E50" s="812"/>
      <c r="F50" s="898"/>
      <c r="G50" s="812"/>
      <c r="H50" s="898"/>
      <c r="I50" s="812"/>
      <c r="J50" s="910"/>
      <c r="K50" s="777"/>
      <c r="L50" s="49">
        <f t="shared" si="6"/>
        <v>29</v>
      </c>
      <c r="M50" s="795"/>
      <c r="N50" s="905"/>
      <c r="O50" s="905"/>
      <c r="P50" s="2108">
        <f t="shared" si="4"/>
        <v>0</v>
      </c>
      <c r="Q50" s="779"/>
      <c r="R50" s="779"/>
      <c r="S50" s="779"/>
      <c r="T50" s="779"/>
      <c r="U50" s="779"/>
      <c r="V50" s="779"/>
      <c r="W50" s="779"/>
      <c r="X50" s="779"/>
      <c r="Y50" s="779"/>
      <c r="Z50" s="779"/>
      <c r="AA50" s="779"/>
      <c r="AB50" s="779"/>
      <c r="AC50" s="779"/>
    </row>
    <row r="51" spans="1:29" ht="13" thickBot="1">
      <c r="B51" s="911"/>
      <c r="C51" s="911"/>
      <c r="D51" s="912"/>
      <c r="E51" s="913"/>
      <c r="F51" s="914"/>
      <c r="G51" s="913"/>
      <c r="H51" s="914"/>
      <c r="I51" s="913"/>
      <c r="J51" s="913"/>
      <c r="K51" s="915"/>
      <c r="L51" s="881"/>
      <c r="M51" s="879"/>
      <c r="N51" s="879"/>
      <c r="O51" s="879"/>
      <c r="P51" s="887"/>
      <c r="Q51" s="879"/>
    </row>
    <row r="52" spans="1:29" ht="13">
      <c r="A52" s="881">
        <f>+A50+1</f>
        <v>30</v>
      </c>
      <c r="B52" s="893"/>
      <c r="C52" s="24"/>
      <c r="D52" s="916">
        <f>SUM(D25:D51)</f>
        <v>9837705.5305384398</v>
      </c>
      <c r="E52" s="917">
        <f>SUM(E25:E51)</f>
        <v>-126452671.28369233</v>
      </c>
      <c r="F52" s="898"/>
      <c r="G52" s="917">
        <f>SUM(G25:G51)</f>
        <v>0</v>
      </c>
      <c r="H52" s="898"/>
      <c r="I52" s="917">
        <f>SUM(I25:I51)</f>
        <v>2584643.6184615381</v>
      </c>
      <c r="J52" s="917">
        <f>SUM(J25:J51)</f>
        <v>133705733.19576922</v>
      </c>
      <c r="K52" s="12"/>
      <c r="L52" s="881">
        <f>+L50+1</f>
        <v>30</v>
      </c>
      <c r="M52" s="24" t="s">
        <v>885</v>
      </c>
      <c r="O52" s="879"/>
      <c r="P52" s="918">
        <f t="shared" ref="P52:AC52" si="8">SUM(P25:P51)</f>
        <v>9837705.5305384398</v>
      </c>
      <c r="Q52" s="917">
        <f t="shared" si="8"/>
        <v>8675932.0089999884</v>
      </c>
      <c r="R52" s="917">
        <f t="shared" si="8"/>
        <v>6805431.089000009</v>
      </c>
      <c r="S52" s="917">
        <f t="shared" si="8"/>
        <v>6561452.998999998</v>
      </c>
      <c r="T52" s="917">
        <f t="shared" si="8"/>
        <v>7615139.8689999953</v>
      </c>
      <c r="U52" s="917">
        <f t="shared" si="8"/>
        <v>6882157.3189999983</v>
      </c>
      <c r="V52" s="917">
        <f t="shared" si="8"/>
        <v>7273290.7990000099</v>
      </c>
      <c r="W52" s="917">
        <f t="shared" si="8"/>
        <v>8841497.5190000087</v>
      </c>
      <c r="X52" s="917">
        <f t="shared" si="8"/>
        <v>14582296.578999989</v>
      </c>
      <c r="Y52" s="917">
        <f t="shared" si="8"/>
        <v>13744929.369000003</v>
      </c>
      <c r="Z52" s="917">
        <f t="shared" si="8"/>
        <v>12632089.319000013</v>
      </c>
      <c r="AA52" s="917">
        <f t="shared" si="8"/>
        <v>15294207.389000006</v>
      </c>
      <c r="AB52" s="917">
        <f t="shared" si="8"/>
        <v>9618969.5290000141</v>
      </c>
      <c r="AC52" s="917">
        <f t="shared" si="8"/>
        <v>9362778.1089999974</v>
      </c>
    </row>
    <row r="53" spans="1:29" ht="13">
      <c r="B53" s="893"/>
      <c r="C53" s="24"/>
      <c r="D53" s="919"/>
      <c r="E53" s="761"/>
      <c r="F53" s="898"/>
      <c r="G53" s="761"/>
      <c r="H53" s="898"/>
      <c r="I53" s="761"/>
      <c r="J53" s="761"/>
      <c r="K53" s="12"/>
      <c r="L53" s="879"/>
      <c r="M53" s="879"/>
      <c r="N53" s="879"/>
      <c r="O53" s="879"/>
      <c r="P53" s="879"/>
      <c r="Q53"/>
      <c r="AC53"/>
    </row>
    <row r="54" spans="1:29" s="294" customFormat="1" ht="49.5" customHeight="1">
      <c r="A54" s="920" t="s">
        <v>763</v>
      </c>
      <c r="B54" s="2334" t="s">
        <v>762</v>
      </c>
      <c r="C54" s="2334"/>
      <c r="D54" s="2334"/>
      <c r="E54" s="2334"/>
      <c r="F54" s="2334"/>
      <c r="G54" s="2334"/>
      <c r="H54" s="2334"/>
      <c r="I54" s="2334"/>
      <c r="J54" s="2334"/>
      <c r="K54" s="2334"/>
      <c r="L54" s="920" t="s">
        <v>763</v>
      </c>
      <c r="M54" s="2334"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334"/>
      <c r="O54" s="2334"/>
      <c r="P54" s="2334"/>
      <c r="Q54" s="2334"/>
      <c r="R54" s="2334"/>
      <c r="S54" s="2334"/>
      <c r="T54" s="2334"/>
      <c r="U54" s="2334"/>
      <c r="V54" s="2334"/>
      <c r="W54" s="2334"/>
      <c r="X54" s="2334"/>
      <c r="Y54" s="2334"/>
      <c r="Z54" s="2334"/>
      <c r="AA54" s="2334"/>
      <c r="AB54" s="2334"/>
      <c r="AC54" s="2334"/>
    </row>
    <row r="55" spans="1:29">
      <c r="A55" s="12"/>
      <c r="B55" s="12"/>
      <c r="C55" s="12"/>
      <c r="D55" s="12"/>
      <c r="E55" s="12"/>
      <c r="F55" s="12"/>
      <c r="G55" s="12"/>
      <c r="H55" s="12"/>
      <c r="I55" s="12"/>
      <c r="J55" s="12"/>
      <c r="K55" s="12"/>
      <c r="L55" s="12"/>
      <c r="M55" s="12"/>
      <c r="N55" s="12"/>
      <c r="O55" s="12"/>
      <c r="P55" s="12"/>
      <c r="Q55" s="12"/>
      <c r="R55" s="12"/>
    </row>
    <row r="56" spans="1:29">
      <c r="A56" s="12"/>
      <c r="B56" s="12"/>
      <c r="C56" s="12"/>
      <c r="D56" s="12"/>
      <c r="E56" s="12"/>
      <c r="F56" s="12"/>
      <c r="G56" s="12"/>
      <c r="H56" s="12"/>
      <c r="I56" s="12"/>
      <c r="J56" s="12"/>
      <c r="K56" s="12"/>
      <c r="L56" s="12"/>
      <c r="M56" s="12"/>
      <c r="N56" s="12"/>
      <c r="O56" s="12"/>
      <c r="P56" s="12"/>
      <c r="Q56" s="12"/>
      <c r="R56" s="12"/>
    </row>
    <row r="57" spans="1:29">
      <c r="A57" s="12"/>
      <c r="B57" s="12"/>
      <c r="C57" s="12"/>
      <c r="D57" s="12"/>
      <c r="E57" s="12"/>
      <c r="F57" s="12"/>
      <c r="G57" s="12"/>
      <c r="H57" s="12"/>
      <c r="I57" s="12"/>
      <c r="J57" s="12"/>
      <c r="K57" s="12"/>
      <c r="L57" s="12"/>
      <c r="M57" s="12"/>
      <c r="N57" s="12"/>
      <c r="O57" s="12"/>
      <c r="P57" s="12"/>
      <c r="Q57" s="12"/>
      <c r="R57" s="12"/>
    </row>
    <row r="58" spans="1:29">
      <c r="A58" s="12"/>
      <c r="B58" s="12"/>
      <c r="C58" s="12"/>
      <c r="D58" s="12"/>
      <c r="E58" s="12"/>
      <c r="F58" s="12"/>
      <c r="G58" s="12"/>
      <c r="H58" s="12"/>
      <c r="I58" s="12"/>
      <c r="J58" s="12"/>
      <c r="K58" s="12"/>
      <c r="L58" s="12"/>
      <c r="M58" s="12"/>
      <c r="N58" s="12"/>
      <c r="O58" s="12"/>
      <c r="P58" s="12"/>
      <c r="Q58" s="12"/>
      <c r="R58" s="12"/>
    </row>
    <row r="59" spans="1:29">
      <c r="A59" s="12"/>
      <c r="B59" s="12"/>
      <c r="C59" s="12"/>
      <c r="D59" s="12"/>
      <c r="E59" s="12"/>
      <c r="F59" s="12"/>
      <c r="G59" s="12"/>
      <c r="H59" s="12"/>
      <c r="I59" s="12"/>
      <c r="J59" s="12"/>
      <c r="K59" s="12"/>
      <c r="L59" s="12"/>
      <c r="M59" s="12"/>
      <c r="N59" s="12"/>
      <c r="O59" s="12"/>
      <c r="P59" s="12"/>
      <c r="Q59" s="12"/>
      <c r="R59" s="12"/>
    </row>
    <row r="60" spans="1:29">
      <c r="A60" s="12"/>
      <c r="B60" s="12"/>
      <c r="C60" s="12"/>
      <c r="D60" s="12"/>
      <c r="E60" s="12"/>
      <c r="F60" s="12"/>
      <c r="G60" s="12"/>
      <c r="H60" s="12"/>
      <c r="I60" s="12"/>
      <c r="J60" s="12"/>
      <c r="K60" s="12"/>
      <c r="L60" s="12"/>
      <c r="M60" s="12"/>
      <c r="N60" s="12"/>
      <c r="O60" s="12"/>
      <c r="P60" s="12"/>
      <c r="Q60" s="12"/>
      <c r="R60" s="12"/>
    </row>
    <row r="61" spans="1:29">
      <c r="A61" s="12"/>
      <c r="B61" s="12"/>
      <c r="C61" s="12"/>
      <c r="D61" s="12"/>
      <c r="E61" s="12"/>
      <c r="F61" s="12"/>
      <c r="G61" s="12"/>
      <c r="H61" s="12"/>
      <c r="I61" s="12"/>
      <c r="J61" s="12"/>
      <c r="K61" s="12"/>
      <c r="L61" s="12"/>
      <c r="M61" s="12"/>
      <c r="N61" s="12"/>
      <c r="O61" s="12"/>
      <c r="P61" s="12"/>
      <c r="Q61" s="12"/>
      <c r="R61" s="12"/>
    </row>
    <row r="62" spans="1:29">
      <c r="A62" s="12"/>
      <c r="B62" s="12"/>
      <c r="C62" s="12"/>
      <c r="D62" s="12"/>
      <c r="E62" s="12"/>
      <c r="F62" s="12"/>
      <c r="G62" s="12"/>
      <c r="H62" s="12"/>
      <c r="I62" s="12"/>
      <c r="J62" s="12"/>
      <c r="K62" s="12"/>
      <c r="L62" s="12"/>
      <c r="M62" s="12"/>
      <c r="N62" s="12"/>
      <c r="O62" s="12"/>
      <c r="P62" s="12"/>
      <c r="Q62" s="12"/>
      <c r="R62" s="12"/>
    </row>
    <row r="63" spans="1:29">
      <c r="A63" s="12"/>
      <c r="B63" s="12"/>
      <c r="C63" s="12"/>
      <c r="D63" s="12"/>
      <c r="E63" s="12"/>
      <c r="F63" s="12"/>
      <c r="G63" s="12"/>
      <c r="H63" s="12"/>
      <c r="I63" s="12"/>
      <c r="J63" s="12"/>
      <c r="K63" s="12"/>
      <c r="L63" s="12"/>
      <c r="M63" s="12"/>
      <c r="N63" s="12"/>
      <c r="O63" s="12"/>
      <c r="P63" s="12"/>
      <c r="Q63" s="12"/>
      <c r="R63" s="12"/>
    </row>
    <row r="64" spans="1:29">
      <c r="A64" s="12"/>
      <c r="B64" s="12"/>
      <c r="C64" s="12"/>
      <c r="D64" s="12"/>
      <c r="E64" s="12"/>
      <c r="F64" s="12"/>
      <c r="G64" s="12"/>
      <c r="H64" s="12"/>
      <c r="I64" s="12"/>
      <c r="J64" s="12"/>
      <c r="K64" s="12"/>
      <c r="L64" s="12"/>
      <c r="M64" s="12"/>
      <c r="N64" s="12"/>
      <c r="O64" s="12"/>
      <c r="P64" s="12"/>
      <c r="Q64" s="12"/>
      <c r="R64" s="12"/>
    </row>
    <row r="65" spans="1:18">
      <c r="A65" s="12"/>
      <c r="B65" s="12"/>
      <c r="C65" s="12"/>
      <c r="D65" s="12"/>
      <c r="E65" s="12"/>
      <c r="F65" s="12"/>
      <c r="G65" s="12"/>
      <c r="H65" s="12"/>
      <c r="I65" s="12"/>
      <c r="J65" s="12"/>
      <c r="K65" s="12"/>
      <c r="L65" s="12"/>
      <c r="M65" s="12"/>
      <c r="N65" s="12"/>
      <c r="O65" s="12"/>
      <c r="P65" s="12"/>
      <c r="Q65" s="12"/>
      <c r="R65" s="12"/>
    </row>
    <row r="66" spans="1:18">
      <c r="A66" s="12"/>
      <c r="B66" s="12"/>
      <c r="C66" s="12"/>
      <c r="D66" s="12"/>
      <c r="E66" s="12"/>
      <c r="F66" s="12"/>
      <c r="G66" s="12"/>
      <c r="H66" s="12"/>
      <c r="I66" s="12"/>
      <c r="J66" s="12"/>
      <c r="K66" s="12"/>
      <c r="L66" s="12"/>
      <c r="M66" s="12"/>
      <c r="N66" s="12"/>
      <c r="O66" s="12"/>
      <c r="P66" s="12"/>
      <c r="Q66" s="12"/>
      <c r="R66" s="12"/>
    </row>
    <row r="67" spans="1:18">
      <c r="A67" s="12"/>
      <c r="B67" s="12"/>
      <c r="C67" s="12"/>
      <c r="D67" s="12"/>
      <c r="E67" s="12"/>
      <c r="F67" s="12"/>
      <c r="G67" s="12"/>
      <c r="H67" s="12"/>
      <c r="I67" s="12"/>
      <c r="J67" s="12"/>
      <c r="K67" s="12"/>
      <c r="L67" s="12"/>
      <c r="M67" s="12"/>
      <c r="N67" s="12"/>
      <c r="O67" s="12"/>
      <c r="P67" s="12"/>
      <c r="Q67" s="12"/>
      <c r="R67" s="12"/>
    </row>
    <row r="68" spans="1:18">
      <c r="A68" s="12"/>
      <c r="B68" s="12"/>
      <c r="C68" s="12"/>
      <c r="D68" s="12"/>
      <c r="E68" s="12"/>
      <c r="F68" s="12"/>
      <c r="G68" s="12"/>
      <c r="H68" s="12"/>
      <c r="I68" s="12"/>
      <c r="J68" s="12"/>
      <c r="K68" s="12"/>
      <c r="L68" s="12"/>
      <c r="M68" s="12"/>
      <c r="N68" s="12"/>
      <c r="O68" s="12"/>
      <c r="P68" s="12"/>
      <c r="Q68" s="12"/>
      <c r="R68" s="12"/>
    </row>
    <row r="69" spans="1:18">
      <c r="A69" s="12"/>
      <c r="B69" s="12"/>
      <c r="C69" s="12"/>
      <c r="D69" s="12"/>
      <c r="E69" s="12"/>
      <c r="F69" s="12"/>
      <c r="G69" s="12"/>
      <c r="H69" s="12"/>
      <c r="I69" s="12"/>
      <c r="J69" s="12"/>
      <c r="K69" s="12"/>
      <c r="L69" s="12"/>
      <c r="M69" s="12"/>
      <c r="N69" s="12"/>
      <c r="O69" s="12"/>
      <c r="P69" s="12"/>
      <c r="Q69" s="12"/>
      <c r="R69" s="12"/>
    </row>
    <row r="70" spans="1:18">
      <c r="A70" s="12"/>
      <c r="B70" s="12"/>
      <c r="C70" s="12"/>
      <c r="D70" s="12"/>
      <c r="E70" s="12"/>
      <c r="F70" s="12"/>
      <c r="G70" s="12"/>
      <c r="H70" s="12"/>
      <c r="I70" s="12"/>
      <c r="J70" s="12"/>
      <c r="K70" s="12"/>
      <c r="L70" s="12"/>
      <c r="M70" s="12"/>
      <c r="N70" s="12"/>
      <c r="O70" s="12"/>
      <c r="P70" s="12"/>
      <c r="Q70" s="12"/>
      <c r="R70" s="12"/>
    </row>
    <row r="71" spans="1:18">
      <c r="A71" s="12"/>
      <c r="B71" s="12"/>
      <c r="C71" s="12"/>
      <c r="D71" s="12"/>
      <c r="E71" s="12"/>
      <c r="F71" s="12"/>
      <c r="G71" s="12"/>
      <c r="H71" s="12"/>
      <c r="I71" s="12"/>
      <c r="J71" s="12"/>
      <c r="K71" s="12"/>
      <c r="L71" s="12"/>
      <c r="M71" s="12"/>
      <c r="N71" s="12"/>
      <c r="O71" s="12"/>
      <c r="P71" s="12"/>
      <c r="Q71" s="12"/>
      <c r="R71" s="12"/>
    </row>
    <row r="72" spans="1:18">
      <c r="A72" s="12"/>
      <c r="B72" s="12"/>
      <c r="C72" s="12"/>
      <c r="D72" s="12"/>
      <c r="E72" s="12"/>
      <c r="F72" s="12"/>
      <c r="G72" s="12"/>
      <c r="H72" s="12"/>
      <c r="I72" s="12"/>
      <c r="J72" s="12"/>
      <c r="K72" s="12"/>
      <c r="L72" s="12"/>
      <c r="M72" s="12"/>
      <c r="N72" s="12"/>
      <c r="O72" s="12"/>
      <c r="P72" s="12"/>
      <c r="Q72" s="12"/>
      <c r="R72" s="12"/>
    </row>
    <row r="73" spans="1:18">
      <c r="A73" s="12"/>
      <c r="B73" s="12"/>
      <c r="C73" s="12"/>
      <c r="D73" s="12"/>
      <c r="E73" s="12"/>
      <c r="F73" s="12"/>
      <c r="G73" s="12"/>
      <c r="H73" s="12"/>
      <c r="I73" s="12"/>
      <c r="J73" s="12"/>
      <c r="K73" s="12"/>
      <c r="L73" s="12"/>
      <c r="M73" s="12"/>
      <c r="N73" s="12"/>
      <c r="O73" s="12"/>
      <c r="P73" s="12"/>
      <c r="Q73" s="12"/>
      <c r="R73" s="12"/>
    </row>
    <row r="74" spans="1:18">
      <c r="A74" s="12"/>
      <c r="B74" s="12"/>
      <c r="C74" s="12"/>
      <c r="D74" s="12"/>
      <c r="E74" s="12"/>
      <c r="F74" s="12"/>
      <c r="G74" s="12"/>
      <c r="H74" s="12"/>
      <c r="I74" s="12"/>
      <c r="J74" s="12"/>
      <c r="K74" s="12"/>
      <c r="L74" s="12"/>
      <c r="M74" s="12"/>
      <c r="N74" s="12"/>
      <c r="O74" s="12"/>
      <c r="P74" s="12"/>
      <c r="Q74" s="12"/>
      <c r="R74" s="12"/>
    </row>
    <row r="75" spans="1:18">
      <c r="A75" s="12"/>
      <c r="B75" s="12"/>
      <c r="C75" s="12"/>
      <c r="D75" s="12"/>
      <c r="E75" s="12"/>
      <c r="F75" s="12"/>
      <c r="G75" s="12"/>
      <c r="H75" s="12"/>
      <c r="I75" s="12"/>
      <c r="J75" s="12"/>
      <c r="K75" s="12"/>
      <c r="L75" s="12"/>
      <c r="M75" s="12"/>
      <c r="N75" s="12"/>
      <c r="O75" s="12"/>
      <c r="P75" s="12"/>
      <c r="Q75" s="12"/>
      <c r="R75" s="12"/>
    </row>
    <row r="76" spans="1:18">
      <c r="A76" s="12"/>
      <c r="B76" s="12"/>
      <c r="C76" s="12"/>
      <c r="D76" s="12"/>
      <c r="E76" s="12"/>
      <c r="F76" s="12"/>
      <c r="G76" s="12"/>
      <c r="H76" s="12"/>
      <c r="I76" s="12"/>
      <c r="J76" s="12"/>
      <c r="K76" s="12"/>
      <c r="L76" s="12"/>
      <c r="M76" s="12"/>
      <c r="N76" s="12"/>
      <c r="O76" s="12"/>
      <c r="P76" s="12"/>
      <c r="Q76" s="12"/>
      <c r="R76" s="12"/>
    </row>
    <row r="77" spans="1:18">
      <c r="A77" s="12"/>
      <c r="B77" s="12"/>
      <c r="C77" s="12"/>
      <c r="D77" s="12"/>
      <c r="E77" s="12"/>
      <c r="F77" s="12"/>
      <c r="G77" s="12"/>
      <c r="H77" s="12"/>
      <c r="I77" s="12"/>
      <c r="J77" s="12"/>
      <c r="K77" s="12"/>
      <c r="L77" s="12"/>
      <c r="M77" s="12"/>
      <c r="N77" s="12"/>
      <c r="O77" s="12"/>
      <c r="P77" s="12"/>
      <c r="Q77" s="12"/>
      <c r="R77" s="12"/>
    </row>
    <row r="78" spans="1:18">
      <c r="A78" s="12"/>
      <c r="B78" s="12"/>
      <c r="C78" s="12"/>
      <c r="D78" s="12"/>
      <c r="E78" s="12"/>
      <c r="F78" s="12"/>
      <c r="G78" s="12"/>
      <c r="H78" s="12"/>
      <c r="I78" s="12"/>
      <c r="J78" s="12"/>
      <c r="K78" s="12"/>
      <c r="L78" s="12"/>
      <c r="M78" s="12"/>
      <c r="N78" s="12"/>
      <c r="O78" s="12"/>
      <c r="P78" s="12"/>
      <c r="Q78" s="12"/>
      <c r="R78" s="12"/>
    </row>
    <row r="79" spans="1:18">
      <c r="A79" s="12"/>
      <c r="B79" s="12"/>
      <c r="C79" s="12"/>
      <c r="D79" s="12"/>
      <c r="E79" s="12"/>
      <c r="F79" s="12"/>
      <c r="G79" s="12"/>
      <c r="H79" s="12"/>
      <c r="I79" s="12"/>
      <c r="J79" s="12"/>
      <c r="K79" s="12"/>
      <c r="L79" s="12"/>
      <c r="M79" s="12"/>
      <c r="N79" s="12"/>
      <c r="O79" s="12"/>
      <c r="P79" s="12"/>
      <c r="Q79" s="12"/>
      <c r="R79" s="12"/>
    </row>
    <row r="80" spans="1:18">
      <c r="A80" s="12"/>
      <c r="B80" s="12"/>
      <c r="C80" s="12"/>
      <c r="D80" s="12"/>
      <c r="E80" s="12"/>
      <c r="F80" s="12"/>
      <c r="G80" s="12"/>
      <c r="H80" s="12"/>
      <c r="I80" s="12"/>
      <c r="J80" s="12"/>
      <c r="K80" s="12"/>
      <c r="L80" s="12"/>
      <c r="M80" s="12"/>
      <c r="N80" s="12"/>
      <c r="O80" s="12"/>
      <c r="P80" s="12"/>
      <c r="Q80" s="12"/>
      <c r="R80" s="12"/>
    </row>
    <row r="81" spans="1:18">
      <c r="A81" s="12"/>
      <c r="B81" s="12"/>
      <c r="C81" s="12"/>
      <c r="D81" s="12"/>
      <c r="E81" s="12"/>
      <c r="F81" s="12"/>
      <c r="G81" s="12"/>
      <c r="H81" s="12"/>
      <c r="I81" s="12"/>
      <c r="J81" s="12"/>
      <c r="K81" s="12"/>
      <c r="L81" s="12"/>
      <c r="M81" s="12"/>
      <c r="N81" s="12"/>
      <c r="O81" s="12"/>
      <c r="P81" s="12"/>
      <c r="Q81" s="12"/>
      <c r="R81" s="12"/>
    </row>
    <row r="82" spans="1:18">
      <c r="A82" s="12"/>
      <c r="B82" s="12"/>
      <c r="C82" s="12"/>
      <c r="D82" s="12"/>
      <c r="E82" s="12"/>
      <c r="F82" s="12"/>
      <c r="G82" s="12"/>
      <c r="H82" s="12"/>
      <c r="I82" s="12"/>
      <c r="J82" s="12"/>
      <c r="K82" s="12"/>
      <c r="L82" s="12"/>
      <c r="M82" s="12"/>
      <c r="N82" s="12"/>
      <c r="O82" s="12"/>
      <c r="P82" s="12"/>
      <c r="Q82" s="12"/>
      <c r="R82" s="12"/>
    </row>
    <row r="83" spans="1:18">
      <c r="A83" s="12"/>
      <c r="B83" s="12"/>
      <c r="C83" s="12"/>
      <c r="D83" s="12"/>
      <c r="E83" s="12"/>
      <c r="F83" s="12"/>
      <c r="G83" s="12"/>
      <c r="H83" s="12"/>
      <c r="I83" s="12"/>
      <c r="J83" s="12"/>
      <c r="K83" s="12"/>
      <c r="L83" s="12"/>
      <c r="M83" s="12"/>
      <c r="N83" s="12"/>
      <c r="O83" s="12"/>
      <c r="P83" s="12"/>
      <c r="Q83" s="12"/>
      <c r="R83" s="12"/>
    </row>
    <row r="84" spans="1:18">
      <c r="A84" s="12"/>
      <c r="B84" s="12"/>
      <c r="C84" s="12"/>
      <c r="D84" s="12"/>
      <c r="E84" s="12"/>
      <c r="F84" s="12"/>
      <c r="G84" s="12"/>
      <c r="H84" s="12"/>
      <c r="I84" s="12"/>
      <c r="J84" s="12"/>
      <c r="K84" s="12"/>
      <c r="L84" s="12"/>
      <c r="M84" s="12"/>
      <c r="N84" s="12"/>
      <c r="O84" s="12"/>
      <c r="P84" s="12"/>
      <c r="Q84" s="12"/>
      <c r="R84" s="12"/>
    </row>
    <row r="85" spans="1:18">
      <c r="A85" s="12"/>
      <c r="B85" s="12"/>
      <c r="C85" s="12"/>
      <c r="D85" s="12"/>
      <c r="E85" s="12"/>
      <c r="F85" s="12"/>
      <c r="G85" s="12"/>
      <c r="H85" s="12"/>
      <c r="I85" s="12"/>
      <c r="J85" s="12"/>
      <c r="K85" s="12"/>
      <c r="L85" s="12"/>
      <c r="M85" s="12"/>
      <c r="N85" s="12"/>
      <c r="O85" s="12"/>
      <c r="P85" s="12"/>
      <c r="Q85" s="12"/>
      <c r="R85" s="12"/>
    </row>
    <row r="86" spans="1:18">
      <c r="A86" s="12"/>
      <c r="B86" s="12"/>
      <c r="C86" s="12"/>
      <c r="D86" s="12"/>
      <c r="E86" s="12"/>
      <c r="F86" s="12"/>
      <c r="G86" s="12"/>
      <c r="H86" s="12"/>
      <c r="I86" s="12"/>
      <c r="J86" s="12"/>
      <c r="K86" s="12"/>
      <c r="L86" s="12"/>
      <c r="M86" s="12"/>
      <c r="N86" s="12"/>
      <c r="O86" s="12"/>
      <c r="P86" s="12"/>
      <c r="Q86" s="12"/>
      <c r="R86" s="12"/>
    </row>
    <row r="87" spans="1:18">
      <c r="A87" s="12"/>
      <c r="B87" s="12"/>
      <c r="C87" s="12"/>
      <c r="D87" s="12"/>
      <c r="E87" s="12"/>
      <c r="F87" s="12"/>
      <c r="G87" s="12"/>
      <c r="H87" s="12"/>
      <c r="I87" s="12"/>
      <c r="J87" s="12"/>
      <c r="K87" s="12"/>
      <c r="L87" s="12"/>
      <c r="M87" s="12"/>
      <c r="N87" s="12"/>
      <c r="O87" s="12"/>
      <c r="P87" s="12"/>
      <c r="Q87" s="12"/>
      <c r="R87" s="12"/>
    </row>
    <row r="88" spans="1:18">
      <c r="A88" s="12"/>
      <c r="B88" s="12"/>
      <c r="C88" s="12"/>
      <c r="D88" s="12"/>
      <c r="E88" s="12"/>
      <c r="F88" s="12"/>
      <c r="G88" s="12"/>
      <c r="H88" s="12"/>
      <c r="I88" s="12"/>
      <c r="J88" s="12"/>
      <c r="K88" s="12"/>
      <c r="L88" s="12"/>
      <c r="M88" s="12"/>
      <c r="N88" s="12"/>
      <c r="O88" s="12"/>
      <c r="P88" s="12"/>
      <c r="Q88" s="12"/>
      <c r="R88" s="12"/>
    </row>
    <row r="89" spans="1:18">
      <c r="A89" s="12"/>
      <c r="B89" s="12"/>
      <c r="C89" s="12"/>
      <c r="D89" s="12"/>
      <c r="E89" s="12"/>
      <c r="F89" s="12"/>
      <c r="G89" s="12"/>
      <c r="H89" s="12"/>
      <c r="I89" s="12"/>
      <c r="J89" s="12"/>
      <c r="K89" s="12"/>
      <c r="L89" s="12"/>
      <c r="M89" s="12"/>
      <c r="N89" s="12"/>
      <c r="O89" s="12"/>
      <c r="P89" s="12"/>
      <c r="Q89" s="12"/>
      <c r="R89" s="12"/>
    </row>
    <row r="90" spans="1:18">
      <c r="A90" s="12"/>
      <c r="B90" s="12"/>
      <c r="C90" s="12"/>
      <c r="D90" s="12"/>
      <c r="E90" s="12"/>
      <c r="F90" s="12"/>
      <c r="G90" s="12"/>
      <c r="H90" s="12"/>
      <c r="I90" s="12"/>
      <c r="J90" s="12"/>
      <c r="K90" s="12"/>
      <c r="L90" s="12"/>
      <c r="M90" s="12"/>
      <c r="N90" s="12"/>
      <c r="O90" s="12"/>
      <c r="P90" s="12"/>
      <c r="Q90" s="12"/>
      <c r="R90" s="12"/>
    </row>
    <row r="91" spans="1:18">
      <c r="A91" s="12"/>
      <c r="B91" s="12"/>
      <c r="C91" s="12"/>
      <c r="D91" s="12"/>
      <c r="E91" s="12"/>
      <c r="F91" s="12"/>
      <c r="G91" s="12"/>
      <c r="H91" s="12"/>
      <c r="I91" s="12"/>
      <c r="J91" s="12"/>
      <c r="K91" s="12"/>
      <c r="L91" s="12"/>
      <c r="M91" s="12"/>
      <c r="N91" s="12"/>
      <c r="O91" s="12"/>
      <c r="P91" s="12"/>
      <c r="Q91" s="12"/>
      <c r="R91" s="12"/>
    </row>
    <row r="92" spans="1:18">
      <c r="A92" s="12"/>
      <c r="B92" s="12"/>
      <c r="C92" s="12"/>
      <c r="D92" s="12"/>
      <c r="E92" s="12"/>
      <c r="F92" s="12"/>
      <c r="G92" s="12"/>
      <c r="H92" s="12"/>
      <c r="I92" s="12"/>
      <c r="J92" s="12"/>
      <c r="K92" s="12"/>
      <c r="L92" s="12"/>
      <c r="M92" s="12"/>
      <c r="N92" s="12"/>
      <c r="O92" s="12"/>
      <c r="P92" s="12"/>
      <c r="Q92" s="12"/>
      <c r="R92" s="12"/>
    </row>
    <row r="93" spans="1:18">
      <c r="A93" s="12"/>
      <c r="B93" s="12"/>
      <c r="C93" s="12"/>
      <c r="D93" s="12"/>
      <c r="E93" s="12"/>
      <c r="F93" s="12"/>
      <c r="G93" s="12"/>
      <c r="H93" s="12"/>
      <c r="I93" s="12"/>
      <c r="J93" s="12"/>
      <c r="K93" s="12"/>
      <c r="L93" s="12"/>
      <c r="M93" s="12"/>
      <c r="N93" s="12"/>
      <c r="O93" s="12"/>
      <c r="P93" s="12"/>
      <c r="Q93" s="12"/>
      <c r="R93" s="12"/>
    </row>
    <row r="94" spans="1:18">
      <c r="A94" s="12"/>
      <c r="B94" s="12"/>
      <c r="C94" s="12"/>
      <c r="D94" s="12"/>
      <c r="E94" s="12"/>
      <c r="F94" s="12"/>
      <c r="G94" s="12"/>
      <c r="H94" s="12"/>
      <c r="I94" s="12"/>
      <c r="J94" s="12"/>
      <c r="K94" s="12"/>
      <c r="L94" s="12"/>
      <c r="M94" s="12"/>
      <c r="N94" s="12"/>
      <c r="O94" s="12"/>
      <c r="P94" s="12"/>
      <c r="Q94" s="12"/>
      <c r="R94" s="12"/>
    </row>
    <row r="95" spans="1:18">
      <c r="A95" s="12"/>
      <c r="B95" s="12"/>
      <c r="C95" s="12"/>
      <c r="D95" s="12"/>
      <c r="E95" s="12"/>
      <c r="F95" s="12"/>
      <c r="G95" s="12"/>
      <c r="H95" s="12"/>
      <c r="I95" s="12"/>
      <c r="J95" s="12"/>
      <c r="K95" s="12"/>
      <c r="L95" s="12"/>
      <c r="M95" s="12"/>
      <c r="N95" s="12"/>
      <c r="O95" s="12"/>
      <c r="P95" s="12"/>
      <c r="Q95" s="12"/>
      <c r="R95" s="12"/>
    </row>
  </sheetData>
  <mergeCells count="17">
    <mergeCell ref="G11:G12"/>
    <mergeCell ref="B54:K54"/>
    <mergeCell ref="B20:K20"/>
    <mergeCell ref="A2:K2"/>
    <mergeCell ref="A3:K3"/>
    <mergeCell ref="A4:K4"/>
    <mergeCell ref="A5:K5"/>
    <mergeCell ref="B9:K9"/>
    <mergeCell ref="M54:AC54"/>
    <mergeCell ref="Q22:AC22"/>
    <mergeCell ref="Q11:AC11"/>
    <mergeCell ref="M2:Y2"/>
    <mergeCell ref="M3:Y3"/>
    <mergeCell ref="M4:Y4"/>
    <mergeCell ref="M5:Y5"/>
    <mergeCell ref="M21:AC21"/>
    <mergeCell ref="M9:AC9"/>
  </mergeCells>
  <phoneticPr fontId="9" type="noConversion"/>
  <printOptions horizontalCentered="1"/>
  <pageMargins left="0.25" right="0.25" top="1" bottom="0.25" header="0.25" footer="0"/>
  <pageSetup scale="45"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O102"/>
  <sheetViews>
    <sheetView zoomScale="81" zoomScaleNormal="81" zoomScaleSheetLayoutView="100" workbookViewId="0">
      <selection activeCell="C10" sqref="C10"/>
    </sheetView>
  </sheetViews>
  <sheetFormatPr defaultColWidth="8.81640625" defaultRowHeight="12.5"/>
  <cols>
    <col min="1" max="1" width="9.1796875" style="49" customWidth="1"/>
    <col min="2" max="2" width="65.1796875" style="12" bestFit="1" customWidth="1"/>
    <col min="3" max="3" width="16.453125" style="12" bestFit="1" customWidth="1"/>
    <col min="4" max="4" width="1.54296875" style="12" customWidth="1"/>
    <col min="5" max="5" width="15" style="12" bestFit="1" customWidth="1"/>
    <col min="6" max="7" width="8.81640625" style="12"/>
    <col min="8" max="8" width="10.81640625" style="12" bestFit="1" customWidth="1"/>
    <col min="9" max="16384" width="8.81640625" style="12"/>
  </cols>
  <sheetData>
    <row r="1" spans="1:15" ht="15.5">
      <c r="A1" s="206"/>
    </row>
    <row r="2" spans="1:15" ht="15.5">
      <c r="A2" s="2284" t="str">
        <f>+'PSO TCOS'!F4</f>
        <v xml:space="preserve">AEP West SPP Member Operating Companies </v>
      </c>
      <c r="B2" s="2284"/>
      <c r="C2" s="2284"/>
      <c r="D2" s="2284"/>
      <c r="E2" s="2284"/>
      <c r="F2" s="47"/>
      <c r="G2" s="47"/>
      <c r="H2" s="47"/>
      <c r="I2" s="47"/>
      <c r="J2" s="47"/>
      <c r="K2" s="47"/>
      <c r="L2" s="47"/>
      <c r="M2" s="47"/>
      <c r="N2" s="47"/>
      <c r="O2" s="47"/>
    </row>
    <row r="3" spans="1:15" ht="15.5">
      <c r="A3" s="2278" t="str">
        <f>+'PSO WS A-1 - Plant'!A3</f>
        <v xml:space="preserve">Actual / Projected 2024 Rate Year Cost of Service Formula Rate </v>
      </c>
      <c r="B3" s="2278"/>
      <c r="C3" s="2278"/>
      <c r="D3" s="2278"/>
      <c r="E3" s="2278"/>
      <c r="F3" s="87"/>
      <c r="G3" s="87"/>
      <c r="H3" s="87"/>
      <c r="I3" s="87"/>
      <c r="J3" s="87"/>
      <c r="K3" s="87"/>
      <c r="L3" s="87"/>
      <c r="M3" s="874"/>
      <c r="N3" s="874"/>
      <c r="O3" s="874"/>
    </row>
    <row r="4" spans="1:15" ht="15.5">
      <c r="A4" s="2279" t="s">
        <v>111</v>
      </c>
      <c r="B4" s="2278"/>
      <c r="C4" s="2278"/>
      <c r="D4" s="2278"/>
      <c r="E4" s="2278"/>
      <c r="F4" s="87"/>
      <c r="G4" s="87"/>
      <c r="H4" s="87"/>
      <c r="I4" s="87"/>
      <c r="J4" s="87"/>
      <c r="K4" s="87"/>
      <c r="L4" s="87"/>
      <c r="M4" s="87"/>
      <c r="N4" s="87"/>
      <c r="O4" s="87"/>
    </row>
    <row r="5" spans="1:15" ht="15.5">
      <c r="A5" s="2340" t="str">
        <f>+'PSO TCOS'!F8</f>
        <v>PUBLIC SERVICE COMPANY OF OKLAHOMA</v>
      </c>
      <c r="B5" s="2340"/>
      <c r="C5" s="2340"/>
      <c r="D5" s="2340"/>
      <c r="E5" s="2340"/>
      <c r="F5" s="115"/>
      <c r="G5" s="115"/>
      <c r="H5" s="115"/>
      <c r="I5" s="115"/>
      <c r="J5" s="115"/>
      <c r="K5" s="115"/>
      <c r="L5" s="115"/>
      <c r="M5" s="115"/>
      <c r="N5" s="115"/>
      <c r="O5" s="115"/>
    </row>
    <row r="7" spans="1:15" ht="13">
      <c r="A7" s="41" t="s">
        <v>308</v>
      </c>
      <c r="B7" s="33" t="s">
        <v>301</v>
      </c>
      <c r="C7" s="33" t="s">
        <v>302</v>
      </c>
    </row>
    <row r="8" spans="1:15" ht="13">
      <c r="A8" s="41" t="s">
        <v>246</v>
      </c>
      <c r="B8" s="41" t="s">
        <v>306</v>
      </c>
      <c r="C8" s="41">
        <f>+'PSO TCOS'!N2</f>
        <v>2024</v>
      </c>
    </row>
    <row r="9" spans="1:15" ht="13">
      <c r="B9" s="921"/>
      <c r="C9" s="33"/>
    </row>
    <row r="10" spans="1:15">
      <c r="A10" s="49">
        <v>1</v>
      </c>
      <c r="B10" s="922" t="str">
        <f>"Net Funds from IPP Customers @ 12/31/"&amp;C8-1&amp;" ("&amp;C8&amp;" FORM 1, P269, (B))"</f>
        <v>Net Funds from IPP Customers @ 12/31/2023 (2024 FORM 1, P269, (B))</v>
      </c>
      <c r="C10" s="2147">
        <v>0</v>
      </c>
      <c r="D10" s="804"/>
      <c r="E10"/>
    </row>
    <row r="11" spans="1:15">
      <c r="A11" s="49" t="s">
        <v>118</v>
      </c>
      <c r="B11" s="922"/>
      <c r="C11" s="761"/>
      <c r="D11" s="804"/>
    </row>
    <row r="12" spans="1:15">
      <c r="A12" s="49">
        <v>2</v>
      </c>
      <c r="B12" s="923" t="s">
        <v>615</v>
      </c>
      <c r="C12" s="2147"/>
      <c r="D12" s="804"/>
    </row>
    <row r="13" spans="1:15">
      <c r="B13" s="922"/>
      <c r="C13" s="761"/>
      <c r="D13" s="804"/>
    </row>
    <row r="14" spans="1:15">
      <c r="A14" s="49">
        <f>+A12+1</f>
        <v>3</v>
      </c>
      <c r="B14" s="923" t="s">
        <v>616</v>
      </c>
      <c r="C14" s="2147">
        <v>0</v>
      </c>
      <c r="D14" s="804"/>
    </row>
    <row r="15" spans="1:15">
      <c r="B15" s="922"/>
      <c r="C15" s="761"/>
      <c r="D15" s="804"/>
    </row>
    <row r="16" spans="1:15">
      <c r="A16" s="49">
        <f>+A14+1</f>
        <v>4</v>
      </c>
      <c r="B16" s="924" t="s">
        <v>617</v>
      </c>
      <c r="C16" s="761"/>
      <c r="D16" s="804"/>
    </row>
    <row r="17" spans="1:8">
      <c r="A17" s="49">
        <f>+A16+1</f>
        <v>5</v>
      </c>
      <c r="B17" s="922" t="s">
        <v>358</v>
      </c>
      <c r="C17" s="2147">
        <v>0</v>
      </c>
      <c r="D17" s="804"/>
      <c r="H17" s="804"/>
    </row>
    <row r="18" spans="1:8">
      <c r="A18" s="49">
        <f>+A17+1</f>
        <v>6</v>
      </c>
      <c r="B18" s="922" t="s">
        <v>254</v>
      </c>
      <c r="C18" s="2147"/>
      <c r="D18" s="804"/>
    </row>
    <row r="19" spans="1:8">
      <c r="B19" s="922"/>
      <c r="C19" s="2183"/>
      <c r="D19" s="804"/>
    </row>
    <row r="20" spans="1:8" ht="13">
      <c r="A20" s="49">
        <f>+A18+1</f>
        <v>7</v>
      </c>
      <c r="B20" s="922" t="str">
        <f>" Net Funds from IPP Customers 12/31/"&amp;C8&amp;" ("&amp;C8&amp;" FORM 1, P269, (F))"</f>
        <v xml:space="preserve"> Net Funds from IPP Customers 12/31/2024 (2024 FORM 1, P269, (F))</v>
      </c>
      <c r="C20" s="761">
        <f>+C10+C12+C14+C17+C18</f>
        <v>0</v>
      </c>
      <c r="D20" s="771"/>
      <c r="E20" s="561"/>
    </row>
    <row r="21" spans="1:8">
      <c r="B21" s="922"/>
      <c r="C21" s="761"/>
      <c r="D21" s="804"/>
    </row>
    <row r="22" spans="1:8">
      <c r="A22" s="49">
        <f>+A20+1</f>
        <v>8</v>
      </c>
      <c r="B22" s="922" t="str">
        <f>"Average Balance for "&amp;C8&amp;" ((ln "&amp;A10&amp;" + ln "&amp;A20&amp;")/2)"</f>
        <v>Average Balance for 2024 ((ln 1 + ln 7)/2)</v>
      </c>
      <c r="C22" s="763">
        <f>AVERAGE(C20,C10)</f>
        <v>0</v>
      </c>
      <c r="D22" s="804"/>
    </row>
    <row r="23" spans="1:8">
      <c r="C23" s="761"/>
      <c r="D23" s="804"/>
    </row>
    <row r="24" spans="1:8">
      <c r="C24" s="804"/>
      <c r="D24" s="804"/>
    </row>
    <row r="31" spans="1:8">
      <c r="D31" s="926"/>
    </row>
    <row r="37" spans="3:3">
      <c r="C37" s="927"/>
    </row>
    <row r="42" spans="3:3" ht="1.5" customHeight="1"/>
    <row r="43" spans="3:3" hidden="1"/>
    <row r="44" spans="3:3" hidden="1"/>
    <row r="45" spans="3:3" hidden="1"/>
    <row r="46" spans="3:3" hidden="1"/>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sheetData>
  <mergeCells count="4">
    <mergeCell ref="A2:E2"/>
    <mergeCell ref="A3:E3"/>
    <mergeCell ref="A4:E4"/>
    <mergeCell ref="A5:E5"/>
  </mergeCells>
  <phoneticPr fontId="0" type="noConversion"/>
  <printOptions horizontalCentered="1"/>
  <pageMargins left="0.75" right="0.75" top="1" bottom="0.25" header="0.25" footer="0.5"/>
  <pageSetup scale="84"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105"/>
  <sheetViews>
    <sheetView zoomScale="60" zoomScaleNormal="60" zoomScaleSheetLayoutView="75" workbookViewId="0">
      <selection activeCell="D51" sqref="D51"/>
    </sheetView>
  </sheetViews>
  <sheetFormatPr defaultColWidth="14.54296875" defaultRowHeight="15.5"/>
  <cols>
    <col min="1" max="1" width="7.453125" style="6" customWidth="1"/>
    <col min="2" max="2" width="8.54296875" style="2" bestFit="1" customWidth="1"/>
    <col min="3" max="3" width="2" style="6" customWidth="1"/>
    <col min="4" max="4" width="78" style="6" customWidth="1"/>
    <col min="5" max="5" width="19.453125" style="6" customWidth="1"/>
    <col min="6" max="6" width="29.81640625" style="6" customWidth="1"/>
    <col min="7" max="7" width="2.54296875" style="6" customWidth="1"/>
    <col min="8" max="8" width="19.453125" style="6" bestFit="1" customWidth="1"/>
    <col min="9" max="9" width="2.54296875" style="6" customWidth="1"/>
    <col min="10" max="10" width="17.54296875" style="6" customWidth="1"/>
    <col min="11" max="11" width="2.54296875" style="6" customWidth="1"/>
    <col min="12" max="12" width="19.54296875" style="6" customWidth="1"/>
    <col min="13" max="14" width="14.54296875" style="6"/>
    <col min="15" max="15" width="2.453125" style="6" customWidth="1"/>
    <col min="16" max="18" width="14.54296875" style="6"/>
    <col min="19" max="19" width="5.54296875" style="6" customWidth="1"/>
    <col min="20" max="20" width="14.54296875" style="6"/>
    <col min="21" max="21" width="15.453125" style="6" bestFit="1" customWidth="1"/>
    <col min="22" max="16384" width="14.54296875" style="6"/>
  </cols>
  <sheetData>
    <row r="1" spans="1:20">
      <c r="A1" s="207"/>
    </row>
    <row r="2" spans="1:20">
      <c r="A2" s="123"/>
      <c r="B2" s="123"/>
      <c r="C2" s="123"/>
      <c r="D2" s="123"/>
      <c r="E2" s="123"/>
      <c r="F2" s="123"/>
      <c r="G2" s="123"/>
      <c r="I2" s="3"/>
      <c r="J2" s="123"/>
      <c r="K2" s="123"/>
      <c r="L2" s="55"/>
      <c r="M2" s="146"/>
    </row>
    <row r="3" spans="1:20">
      <c r="B3" s="11"/>
      <c r="C3" s="3"/>
      <c r="D3" s="3"/>
      <c r="E3" s="3"/>
      <c r="F3" s="3"/>
      <c r="G3" s="3"/>
      <c r="I3" s="3"/>
      <c r="J3" s="3"/>
      <c r="K3" s="3"/>
      <c r="L3" s="55"/>
    </row>
    <row r="4" spans="1:20">
      <c r="B4" s="11"/>
      <c r="C4" s="3"/>
      <c r="D4" s="4"/>
      <c r="E4" s="4"/>
      <c r="F4" s="47" t="s">
        <v>644</v>
      </c>
      <c r="J4" s="4"/>
      <c r="K4" s="4"/>
    </row>
    <row r="5" spans="1:20">
      <c r="B5" s="11"/>
      <c r="C5" s="3"/>
      <c r="D5" s="4"/>
      <c r="E5" s="4"/>
      <c r="F5" s="115" t="str">
        <f>"Utilizing Actual / Projected Cost Data for the "&amp;'PSO TCOS'!N2&amp;" Rate Year"</f>
        <v>Utilizing Actual / Projected Cost Data for the 2024 Rate Year</v>
      </c>
      <c r="J5" s="5"/>
      <c r="K5" s="4"/>
    </row>
    <row r="6" spans="1:20">
      <c r="B6" s="11"/>
      <c r="C6" s="3"/>
      <c r="D6" s="4"/>
      <c r="E6" s="4"/>
      <c r="F6" s="147" t="str">
        <f>"For rates effective January 1, "&amp;'PSO TCOS'!N2&amp;""</f>
        <v>For rates effective January 1, 2024</v>
      </c>
      <c r="I6" s="4"/>
      <c r="J6" s="4"/>
      <c r="K6" s="4"/>
      <c r="L6" s="4"/>
    </row>
    <row r="7" spans="1:20">
      <c r="B7" s="10"/>
      <c r="C7" s="7"/>
      <c r="D7" s="4"/>
      <c r="E7" s="4"/>
      <c r="I7" s="4"/>
      <c r="J7" s="84"/>
      <c r="K7" s="84"/>
      <c r="L7" s="4"/>
    </row>
    <row r="8" spans="1:20">
      <c r="B8" s="10"/>
      <c r="C8" s="7"/>
      <c r="D8" s="4"/>
      <c r="E8" s="4"/>
      <c r="F8" s="82" t="s">
        <v>126</v>
      </c>
      <c r="I8" s="4"/>
      <c r="J8" s="4"/>
      <c r="K8" s="4"/>
      <c r="N8" s="2260"/>
      <c r="O8" s="2260"/>
      <c r="P8" s="2260"/>
      <c r="R8" s="2260"/>
      <c r="S8" s="2260"/>
      <c r="T8" s="2260"/>
    </row>
    <row r="9" spans="1:20">
      <c r="B9" s="10"/>
      <c r="C9" s="7"/>
      <c r="D9" s="4"/>
      <c r="E9" s="4"/>
      <c r="F9" s="4"/>
      <c r="G9" s="84"/>
      <c r="H9" s="148" t="s">
        <v>119</v>
      </c>
      <c r="I9" s="85"/>
      <c r="J9" s="85" t="s">
        <v>120</v>
      </c>
      <c r="K9" s="85"/>
      <c r="L9" s="148" t="s">
        <v>121</v>
      </c>
      <c r="N9" s="85"/>
      <c r="O9" s="85"/>
      <c r="P9" s="148"/>
      <c r="R9" s="85"/>
      <c r="S9" s="85"/>
      <c r="T9" s="148"/>
    </row>
    <row r="10" spans="1:20">
      <c r="B10" s="10" t="s">
        <v>308</v>
      </c>
      <c r="C10" s="7"/>
      <c r="D10" s="4"/>
      <c r="E10" s="4"/>
      <c r="F10" s="4"/>
      <c r="G10" s="4"/>
      <c r="H10" s="148" t="s">
        <v>32</v>
      </c>
      <c r="I10" s="85"/>
      <c r="J10" s="85" t="s">
        <v>32</v>
      </c>
      <c r="K10" s="85"/>
      <c r="L10" s="85" t="s">
        <v>32</v>
      </c>
    </row>
    <row r="11" spans="1:20" ht="16" thickBot="1">
      <c r="B11" s="86" t="s">
        <v>257</v>
      </c>
      <c r="C11" s="7"/>
      <c r="D11" s="4"/>
      <c r="E11" s="4"/>
      <c r="F11" s="7"/>
      <c r="G11" s="4"/>
      <c r="H11" s="148" t="s">
        <v>122</v>
      </c>
      <c r="I11" s="85"/>
      <c r="J11" s="148" t="s">
        <v>122</v>
      </c>
      <c r="K11" s="85"/>
      <c r="L11" s="148" t="s">
        <v>122</v>
      </c>
    </row>
    <row r="12" spans="1:20">
      <c r="B12" s="10"/>
      <c r="C12" s="7"/>
      <c r="D12" s="4"/>
      <c r="E12" s="4"/>
      <c r="F12" s="7"/>
      <c r="G12" s="4"/>
      <c r="I12" s="4"/>
      <c r="K12" s="4"/>
    </row>
    <row r="13" spans="1:20">
      <c r="B13" s="10"/>
      <c r="C13" s="7"/>
      <c r="D13" s="4"/>
      <c r="E13" s="4"/>
      <c r="F13" s="7"/>
      <c r="G13" s="4"/>
      <c r="I13" s="4"/>
      <c r="K13" s="4"/>
    </row>
    <row r="14" spans="1:20">
      <c r="A14" s="148" t="s">
        <v>123</v>
      </c>
      <c r="B14" s="199" t="str">
        <f>"Schedule 1 ARR For "&amp;'PSO TCOS'!N2&amp;" Rate Year"</f>
        <v>Schedule 1 ARR For 2024 Rate Year</v>
      </c>
      <c r="C14" s="7"/>
      <c r="D14" s="4"/>
      <c r="E14" s="4"/>
      <c r="F14" s="7"/>
      <c r="G14" s="4"/>
      <c r="I14" s="4"/>
      <c r="J14" s="4"/>
      <c r="K14" s="4"/>
    </row>
    <row r="15" spans="1:20">
      <c r="B15" s="10">
        <v>1</v>
      </c>
      <c r="C15" s="7"/>
      <c r="D15" s="119" t="str">
        <f>"Total Load Dispatch &amp; Scheduling (Account 561) (TCOS Line "&amp;'PSO TCOS'!B129&amp;")"</f>
        <v>Total Load Dispatch &amp; Scheduling (Account 561) (TCOS Line 65)</v>
      </c>
      <c r="E15" s="119"/>
      <c r="F15" s="4"/>
      <c r="G15" s="54"/>
      <c r="H15" s="496">
        <f>+J15+L15</f>
        <v>18928348.379000001</v>
      </c>
      <c r="I15" s="495"/>
      <c r="J15" s="496">
        <f>+'PSO TCOS'!G129</f>
        <v>9328016.8599999994</v>
      </c>
      <c r="K15" s="497"/>
      <c r="L15" s="496">
        <f>+'SWEPCO TCOS'!G129</f>
        <v>9600331.5189999994</v>
      </c>
    </row>
    <row r="16" spans="1:20">
      <c r="B16" s="10">
        <f>+B15+1</f>
        <v>2</v>
      </c>
      <c r="C16" s="7"/>
      <c r="D16" s="119" t="s">
        <v>550</v>
      </c>
      <c r="E16" s="119"/>
      <c r="F16" s="4"/>
      <c r="G16" s="54"/>
      <c r="H16" s="496">
        <f>+J16+L16</f>
        <v>14826138.399999999</v>
      </c>
      <c r="I16" s="495"/>
      <c r="J16" s="2441">
        <v>7534766.7599999998</v>
      </c>
      <c r="K16" s="497"/>
      <c r="L16" s="2441">
        <v>7291371.6399999997</v>
      </c>
      <c r="M16" s="4"/>
    </row>
    <row r="17" spans="1:13">
      <c r="B17" s="10">
        <f>+B16+1</f>
        <v>3</v>
      </c>
      <c r="C17" s="7"/>
      <c r="D17" s="119" t="s">
        <v>551</v>
      </c>
      <c r="E17" s="119"/>
      <c r="F17" s="4"/>
      <c r="G17" s="54"/>
      <c r="H17" s="507">
        <f>+J17+L17</f>
        <v>2414586.0100000002</v>
      </c>
      <c r="I17" s="495"/>
      <c r="J17" s="2442">
        <v>1266688.4100000001</v>
      </c>
      <c r="K17" s="497"/>
      <c r="L17" s="2442">
        <v>1147897.6000000001</v>
      </c>
      <c r="M17" s="4"/>
    </row>
    <row r="18" spans="1:13">
      <c r="B18" s="10">
        <f>+B17+1</f>
        <v>4</v>
      </c>
      <c r="C18" s="7"/>
      <c r="D18" s="119" t="s">
        <v>61</v>
      </c>
      <c r="E18" s="119"/>
      <c r="F18" s="7" t="str">
        <f>"(Line "&amp;B15&amp;" - Line "&amp;B16&amp;" - Line "&amp;B17&amp;")"</f>
        <v>(Line 1 - Line 2 - Line 3)</v>
      </c>
      <c r="G18" s="54"/>
      <c r="H18" s="496">
        <f>+H15-H16-H17</f>
        <v>1687623.9690000019</v>
      </c>
      <c r="I18" s="495"/>
      <c r="J18" s="496">
        <f>+J15-J16-J17</f>
        <v>526561.68999999948</v>
      </c>
      <c r="K18" s="497"/>
      <c r="L18" s="496">
        <f>+L15-L16-L17</f>
        <v>1161062.2789999996</v>
      </c>
    </row>
    <row r="19" spans="1:13">
      <c r="B19" s="6"/>
      <c r="C19" s="7"/>
      <c r="D19" s="119"/>
      <c r="E19" s="119"/>
      <c r="F19" s="7"/>
      <c r="G19" s="54"/>
      <c r="H19" s="496"/>
      <c r="I19" s="495"/>
      <c r="J19" s="496"/>
      <c r="K19" s="497"/>
      <c r="L19" s="496"/>
    </row>
    <row r="20" spans="1:13">
      <c r="B20" s="10">
        <f>+B18+1</f>
        <v>5</v>
      </c>
      <c r="C20" s="7"/>
      <c r="D20" s="165" t="s">
        <v>552</v>
      </c>
      <c r="E20" s="119"/>
      <c r="F20" s="7"/>
      <c r="G20" s="54"/>
      <c r="H20" s="494">
        <f>+J20+L20</f>
        <v>65088.700000000557</v>
      </c>
      <c r="I20" s="497"/>
      <c r="J20" s="2445">
        <v>10789.003224149417</v>
      </c>
      <c r="K20" s="497"/>
      <c r="L20" s="2445">
        <v>54299.696775851138</v>
      </c>
    </row>
    <row r="21" spans="1:13" ht="16" thickBot="1">
      <c r="B21" s="10"/>
      <c r="C21" s="7"/>
      <c r="D21" s="119"/>
      <c r="E21" s="119"/>
      <c r="F21" s="7"/>
      <c r="G21" s="54"/>
      <c r="H21" s="496"/>
      <c r="I21" s="495"/>
      <c r="J21" s="496"/>
      <c r="K21" s="497"/>
      <c r="L21" s="496"/>
    </row>
    <row r="22" spans="1:13" ht="16" thickBot="1">
      <c r="A22" s="166"/>
      <c r="B22" s="10">
        <f>+B20+1</f>
        <v>6</v>
      </c>
      <c r="C22" s="7"/>
      <c r="D22" s="200" t="s">
        <v>553</v>
      </c>
      <c r="E22" s="167"/>
      <c r="F22" s="155" t="str">
        <f>"(Line "&amp;B18&amp;" - Line "&amp;B20&amp;")"</f>
        <v>(Line 4 - Line 5)</v>
      </c>
      <c r="G22" s="168"/>
      <c r="H22" s="508">
        <f>+H18-H20</f>
        <v>1622535.2690000013</v>
      </c>
      <c r="I22" s="509"/>
      <c r="J22" s="508">
        <f>+J18-J20</f>
        <v>515772.68677585007</v>
      </c>
      <c r="K22" s="510"/>
      <c r="L22" s="511">
        <f>+L18-L20</f>
        <v>1106762.5822241486</v>
      </c>
    </row>
    <row r="23" spans="1:13">
      <c r="A23" s="166"/>
      <c r="B23" s="10"/>
      <c r="C23" s="7"/>
      <c r="D23" s="119"/>
      <c r="E23" s="119"/>
      <c r="F23" s="54"/>
      <c r="G23" s="3"/>
      <c r="H23" s="501"/>
      <c r="I23" s="497"/>
      <c r="J23" s="499">
        <f>J22/H22</f>
        <v>0.31788072446260623</v>
      </c>
      <c r="K23" s="497"/>
      <c r="L23" s="499">
        <f>1-J23</f>
        <v>0.68211927553739371</v>
      </c>
    </row>
    <row r="24" spans="1:13">
      <c r="B24" s="10"/>
      <c r="C24" s="7"/>
      <c r="D24" s="119"/>
      <c r="E24" s="119"/>
      <c r="F24" s="54"/>
      <c r="G24" s="3"/>
      <c r="H24" s="501"/>
      <c r="I24" s="497"/>
      <c r="J24" s="501"/>
      <c r="K24" s="494"/>
      <c r="L24" s="501"/>
    </row>
    <row r="25" spans="1:13">
      <c r="A25" s="148" t="s">
        <v>124</v>
      </c>
      <c r="B25" s="199" t="str">
        <f>"Schedule 1 "&amp;'PSO TCOS'!N2&amp;" Rate Year Calculations"</f>
        <v>Schedule 1 2024 Rate Year Calculations</v>
      </c>
      <c r="C25" s="7"/>
      <c r="D25" s="4"/>
      <c r="E25" s="4"/>
      <c r="F25" s="7"/>
      <c r="G25" s="4"/>
      <c r="H25" s="497"/>
      <c r="I25" s="495"/>
      <c r="J25" s="494"/>
      <c r="K25" s="494"/>
      <c r="L25" s="494"/>
    </row>
    <row r="26" spans="1:13">
      <c r="A26" s="166"/>
      <c r="B26" s="10">
        <f>+B22+1</f>
        <v>7</v>
      </c>
      <c r="C26" s="7"/>
      <c r="D26" s="119" t="s">
        <v>554</v>
      </c>
      <c r="E26" s="119"/>
      <c r="F26" s="8" t="str">
        <f>"(Load WS, ln "&amp;'Load WS'!A33&amp;")"</f>
        <v>(Load WS, ln 20)</v>
      </c>
      <c r="G26" s="54"/>
      <c r="H26" s="494">
        <f>+'Load WS'!Q33</f>
        <v>8487.5833333333339</v>
      </c>
      <c r="I26" s="495" t="s">
        <v>125</v>
      </c>
      <c r="J26" s="494">
        <f>+H26</f>
        <v>8487.5833333333339</v>
      </c>
      <c r="K26" s="495" t="s">
        <v>125</v>
      </c>
      <c r="L26" s="494">
        <f>+H26</f>
        <v>8487.5833333333339</v>
      </c>
      <c r="M26" s="495" t="s">
        <v>125</v>
      </c>
    </row>
    <row r="27" spans="1:13">
      <c r="A27" s="166"/>
      <c r="B27" s="10"/>
      <c r="C27" s="7"/>
      <c r="D27" s="119"/>
      <c r="E27" s="119"/>
      <c r="F27" s="169"/>
      <c r="G27" s="54"/>
      <c r="H27" s="512"/>
      <c r="I27" s="495"/>
      <c r="J27" s="512"/>
      <c r="K27" s="495"/>
      <c r="L27" s="512"/>
      <c r="M27" s="495"/>
    </row>
    <row r="28" spans="1:13">
      <c r="A28" s="166"/>
      <c r="B28" s="10">
        <f>+B26+1</f>
        <v>8</v>
      </c>
      <c r="C28" s="119"/>
      <c r="D28" s="119" t="str">
        <f>"Annual Point-to-Point Rate in $/MW - Year"</f>
        <v>Annual Point-to-Point Rate in $/MW - Year</v>
      </c>
      <c r="E28" s="170"/>
      <c r="F28" s="119" t="str">
        <f>"(Line "&amp;B22&amp;" / Line "&amp;B26&amp;")"</f>
        <v>(Line 6 / Line 7)</v>
      </c>
      <c r="G28" s="119"/>
      <c r="H28" s="497">
        <f>+H22/H26</f>
        <v>191.16575417030774</v>
      </c>
      <c r="I28" s="119"/>
      <c r="J28" s="497">
        <f>+J22/J26</f>
        <v>60.767908428097911</v>
      </c>
      <c r="K28" s="119"/>
      <c r="L28" s="497">
        <f>+L22/L26</f>
        <v>130.39784574220951</v>
      </c>
      <c r="M28" s="119"/>
    </row>
    <row r="29" spans="1:13">
      <c r="A29" s="166"/>
      <c r="B29" s="10">
        <f>+B28+1</f>
        <v>9</v>
      </c>
      <c r="C29" s="119"/>
      <c r="D29" s="119" t="str">
        <f>"Monthly Point-to-Point Rate (ln "&amp;B28&amp;" / 12)  $/MW - Month"</f>
        <v>Monthly Point-to-Point Rate (ln 8 / 12)  $/MW - Month</v>
      </c>
      <c r="E29" s="170"/>
      <c r="F29" s="119" t="str">
        <f>"(Line "&amp;B28&amp;" / 12)"</f>
        <v>(Line 8 / 12)</v>
      </c>
      <c r="G29" s="119"/>
      <c r="H29" s="497">
        <f>+H28/12</f>
        <v>15.930479514192312</v>
      </c>
      <c r="I29" s="119"/>
      <c r="J29" s="497">
        <f>+J28/12</f>
        <v>5.063992369008159</v>
      </c>
      <c r="K29" s="119"/>
      <c r="L29" s="497">
        <f>+L28/12</f>
        <v>10.866487145184125</v>
      </c>
      <c r="M29" s="119"/>
    </row>
    <row r="30" spans="1:13">
      <c r="A30" s="166"/>
      <c r="B30" s="10">
        <f>+B29+1</f>
        <v>10</v>
      </c>
      <c r="C30" s="119"/>
      <c r="D30" s="119" t="str">
        <f>"Weekly Point-to-Point Rate (ln "&amp;B28&amp;" / 52)  $/MW - Weekly"</f>
        <v>Weekly Point-to-Point Rate (ln 8 / 52)  $/MW - Weekly</v>
      </c>
      <c r="E30" s="170"/>
      <c r="F30" s="119" t="str">
        <f>"(Line "&amp;B28&amp;" / 52)"</f>
        <v>(Line 8 / 52)</v>
      </c>
      <c r="G30" s="119"/>
      <c r="H30" s="497">
        <f>+H28/52</f>
        <v>3.6762645032751489</v>
      </c>
      <c r="I30" s="119"/>
      <c r="J30" s="497">
        <f>+J28/52</f>
        <v>1.1686136236172675</v>
      </c>
      <c r="K30" s="119"/>
      <c r="L30" s="497">
        <f>+L28/52</f>
        <v>2.5076508796578754</v>
      </c>
      <c r="M30" s="119"/>
    </row>
    <row r="31" spans="1:13">
      <c r="A31" s="166"/>
      <c r="B31" s="10">
        <f>+B30+1</f>
        <v>11</v>
      </c>
      <c r="C31" s="119"/>
      <c r="D31" s="119" t="str">
        <f>"Daily Off-Peak Point-to-Point Rate (ln "&amp;B28&amp;" / 365)  $/MW - Day"</f>
        <v>Daily Off-Peak Point-to-Point Rate (ln 8 / 365)  $/MW - Day</v>
      </c>
      <c r="E31" s="170"/>
      <c r="F31" s="119" t="str">
        <f>"(Line "&amp;B28&amp;" / 365)"</f>
        <v>(Line 8 / 365)</v>
      </c>
      <c r="G31" s="119"/>
      <c r="H31" s="497">
        <f>+H28/365</f>
        <v>0.52374179224741846</v>
      </c>
      <c r="I31" s="119"/>
      <c r="J31" s="497">
        <f>+J28/365</f>
        <v>0.16648742035095318</v>
      </c>
      <c r="K31" s="119"/>
      <c r="L31" s="497">
        <f>+L28/365</f>
        <v>0.35725437189646442</v>
      </c>
      <c r="M31" s="119"/>
    </row>
    <row r="32" spans="1:13">
      <c r="A32" s="166"/>
      <c r="B32" s="10">
        <f>+B31+1</f>
        <v>12</v>
      </c>
      <c r="C32" s="119"/>
      <c r="D32" s="119" t="str">
        <f>"Hourly Off-Peak Point-to-Point Rate (ln "&amp;B28&amp;" / 8760)  $/MW - Hour"</f>
        <v>Hourly Off-Peak Point-to-Point Rate (ln 8 / 8760)  $/MW - Hour</v>
      </c>
      <c r="E32" s="170"/>
      <c r="F32" s="119" t="str">
        <f>"(Line "&amp;B28&amp;" / 8760)"</f>
        <v>(Line 8 / 8760)</v>
      </c>
      <c r="G32" s="119"/>
      <c r="H32" s="497">
        <f>+H28/8760</f>
        <v>2.1822574676975768E-2</v>
      </c>
      <c r="I32" s="119"/>
      <c r="J32" s="497">
        <f>+J28/8760</f>
        <v>6.9369758479563828E-3</v>
      </c>
      <c r="K32" s="119"/>
      <c r="L32" s="497">
        <f>+L28/8760</f>
        <v>1.4885598829019351E-2</v>
      </c>
      <c r="M32" s="119"/>
    </row>
    <row r="33" spans="2:23">
      <c r="B33" s="10"/>
      <c r="C33" s="7"/>
      <c r="D33" s="119"/>
      <c r="E33" s="119"/>
      <c r="F33" s="54"/>
      <c r="G33" s="3"/>
      <c r="H33" s="150"/>
      <c r="I33" s="3"/>
      <c r="J33" s="150"/>
      <c r="K33" s="153"/>
      <c r="L33" s="150"/>
    </row>
    <row r="34" spans="2:23">
      <c r="B34" s="10"/>
      <c r="C34" s="119"/>
      <c r="D34" s="119"/>
      <c r="E34" s="119"/>
      <c r="F34" s="119"/>
      <c r="G34" s="119"/>
      <c r="I34" s="119"/>
      <c r="J34" s="152"/>
      <c r="K34" s="3"/>
      <c r="L34" s="152"/>
      <c r="M34" s="9"/>
      <c r="N34" s="9"/>
      <c r="O34" s="9"/>
      <c r="P34" s="9"/>
      <c r="Q34" s="9"/>
      <c r="R34" s="9"/>
      <c r="S34" s="9"/>
      <c r="T34" s="9"/>
      <c r="U34" s="9"/>
      <c r="V34" s="9"/>
      <c r="W34" s="9"/>
    </row>
    <row r="35" spans="2:23">
      <c r="B35" s="10"/>
      <c r="C35" s="119"/>
      <c r="D35" s="119"/>
      <c r="E35" s="119"/>
      <c r="F35" s="119"/>
      <c r="G35" s="119"/>
      <c r="I35" s="119"/>
      <c r="J35" s="152"/>
      <c r="K35" s="3"/>
      <c r="L35" s="152"/>
      <c r="M35" s="9"/>
      <c r="N35" s="9"/>
      <c r="O35" s="9"/>
      <c r="P35" s="9"/>
      <c r="Q35" s="9"/>
      <c r="R35" s="9"/>
      <c r="S35" s="9"/>
      <c r="T35" s="9"/>
      <c r="U35" s="9"/>
      <c r="V35" s="9"/>
      <c r="W35" s="9"/>
    </row>
    <row r="36" spans="2:23">
      <c r="B36" s="171"/>
      <c r="C36" s="119"/>
      <c r="D36" s="119"/>
      <c r="E36" s="119"/>
      <c r="F36" s="119"/>
      <c r="G36" s="119"/>
      <c r="H36" s="9"/>
      <c r="I36" s="119"/>
      <c r="J36" s="119"/>
      <c r="K36" s="119"/>
      <c r="L36" s="119"/>
      <c r="M36" s="9"/>
      <c r="N36" s="9"/>
      <c r="O36" s="9"/>
      <c r="P36" s="9"/>
      <c r="Q36" s="9"/>
      <c r="R36" s="9"/>
      <c r="S36" s="9"/>
      <c r="T36" s="9"/>
      <c r="U36" s="9"/>
      <c r="V36" s="9"/>
      <c r="W36" s="9"/>
    </row>
    <row r="37" spans="2:23">
      <c r="B37" s="171"/>
      <c r="C37" s="119"/>
      <c r="D37" s="119"/>
      <c r="E37" s="119"/>
      <c r="F37" s="119"/>
      <c r="G37" s="119"/>
      <c r="H37" s="9"/>
      <c r="I37" s="119"/>
      <c r="J37" s="119"/>
      <c r="K37" s="119"/>
      <c r="L37" s="119"/>
      <c r="M37" s="9"/>
      <c r="N37" s="9"/>
      <c r="O37" s="9"/>
      <c r="P37" s="9"/>
      <c r="Q37" s="9"/>
      <c r="R37" s="9"/>
      <c r="S37" s="9"/>
      <c r="T37" s="9"/>
      <c r="U37" s="9"/>
      <c r="V37" s="9"/>
      <c r="W37" s="9"/>
    </row>
    <row r="38" spans="2:23">
      <c r="B38" s="171"/>
      <c r="C38" s="119"/>
      <c r="D38" s="119"/>
      <c r="E38" s="119"/>
      <c r="F38" s="119"/>
      <c r="G38" s="119"/>
      <c r="H38" s="9"/>
      <c r="I38" s="119"/>
      <c r="J38" s="119"/>
      <c r="K38" s="119"/>
      <c r="L38" s="119"/>
      <c r="M38" s="9"/>
      <c r="N38" s="9"/>
      <c r="O38" s="9"/>
      <c r="P38" s="9"/>
      <c r="Q38" s="9"/>
      <c r="R38" s="9"/>
      <c r="S38" s="9"/>
      <c r="T38" s="9"/>
      <c r="U38" s="9"/>
      <c r="V38" s="9"/>
      <c r="W38" s="9"/>
    </row>
    <row r="39" spans="2:23">
      <c r="B39" s="52"/>
      <c r="C39" s="4"/>
      <c r="D39" s="123"/>
      <c r="E39" s="123"/>
      <c r="F39" s="123"/>
      <c r="G39" s="123"/>
      <c r="H39" s="123" t="s">
        <v>254</v>
      </c>
      <c r="J39" s="123"/>
      <c r="K39" s="123"/>
      <c r="L39" s="123"/>
      <c r="M39" s="123"/>
      <c r="N39" s="123"/>
      <c r="O39" s="123"/>
      <c r="P39" s="123"/>
      <c r="Q39" s="123"/>
      <c r="R39" s="123"/>
      <c r="S39" s="123"/>
      <c r="T39" s="9"/>
      <c r="U39" s="9"/>
      <c r="V39" s="9"/>
      <c r="W39" s="9"/>
    </row>
    <row r="40" spans="2:23">
      <c r="B40" s="52"/>
      <c r="C40" s="4"/>
      <c r="D40" s="123"/>
      <c r="E40" s="123"/>
      <c r="F40" s="123"/>
      <c r="G40" s="123"/>
      <c r="H40" s="123"/>
      <c r="I40" s="123"/>
      <c r="J40" s="123"/>
      <c r="K40" s="123"/>
      <c r="L40" s="123"/>
      <c r="M40" s="123"/>
      <c r="N40" s="123"/>
      <c r="O40" s="123"/>
      <c r="P40" s="123"/>
      <c r="Q40" s="123"/>
      <c r="R40" s="123"/>
      <c r="S40" s="123"/>
      <c r="T40" s="9"/>
      <c r="U40" s="9"/>
      <c r="V40" s="9"/>
      <c r="W40" s="9"/>
    </row>
    <row r="41" spans="2:23">
      <c r="B41" s="52"/>
      <c r="C41" s="4"/>
      <c r="D41" s="123"/>
      <c r="E41" s="123"/>
      <c r="F41" s="123"/>
      <c r="G41" s="123"/>
      <c r="H41" s="123"/>
      <c r="I41" s="123"/>
      <c r="J41" s="123"/>
      <c r="K41" s="123"/>
      <c r="L41" s="123"/>
      <c r="M41" s="123"/>
      <c r="N41" s="123"/>
      <c r="O41" s="123"/>
      <c r="P41" s="123"/>
      <c r="Q41" s="123"/>
      <c r="R41" s="123"/>
      <c r="S41" s="123"/>
      <c r="T41" s="9"/>
      <c r="U41" s="9"/>
      <c r="V41" s="9"/>
      <c r="W41" s="9"/>
    </row>
    <row r="42" spans="2:23">
      <c r="B42" s="52"/>
      <c r="C42" s="4"/>
      <c r="D42" s="123"/>
      <c r="E42" s="123"/>
      <c r="F42" s="123"/>
      <c r="G42" s="123"/>
      <c r="H42" s="123"/>
      <c r="I42" s="123"/>
      <c r="J42" s="123"/>
      <c r="K42" s="123"/>
      <c r="L42" s="123"/>
      <c r="M42" s="123"/>
      <c r="N42" s="123"/>
      <c r="O42" s="123"/>
      <c r="P42" s="123"/>
      <c r="Q42" s="123"/>
      <c r="R42" s="123"/>
      <c r="S42" s="123"/>
      <c r="T42" s="9"/>
      <c r="U42" s="9"/>
      <c r="V42" s="9"/>
      <c r="W42" s="9"/>
    </row>
    <row r="43" spans="2:23">
      <c r="B43" s="52"/>
      <c r="C43" s="4"/>
      <c r="D43" s="123"/>
      <c r="E43" s="123"/>
      <c r="F43" s="123"/>
      <c r="G43" s="123"/>
      <c r="H43" s="123"/>
      <c r="I43" s="123"/>
      <c r="J43" s="123"/>
      <c r="K43" s="123"/>
      <c r="L43" s="123"/>
      <c r="M43" s="123"/>
      <c r="N43" s="123"/>
      <c r="O43" s="123"/>
      <c r="P43" s="123"/>
      <c r="Q43" s="123"/>
      <c r="R43" s="123"/>
      <c r="S43" s="123"/>
      <c r="T43" s="9"/>
      <c r="U43" s="9"/>
      <c r="V43" s="9"/>
      <c r="W43" s="9"/>
    </row>
    <row r="44" spans="2:23">
      <c r="B44" s="52"/>
      <c r="C44" s="4"/>
      <c r="D44" s="123"/>
      <c r="E44" s="123"/>
      <c r="F44" s="123"/>
      <c r="G44" s="123"/>
      <c r="H44" s="123"/>
      <c r="I44" s="123"/>
      <c r="J44" s="123"/>
      <c r="K44" s="123"/>
      <c r="L44" s="123"/>
      <c r="M44" s="123"/>
      <c r="N44" s="123"/>
      <c r="O44" s="123"/>
      <c r="P44" s="123"/>
      <c r="Q44" s="123"/>
      <c r="R44" s="123"/>
      <c r="S44" s="123"/>
      <c r="T44" s="9"/>
      <c r="U44" s="9"/>
      <c r="V44" s="9"/>
      <c r="W44" s="9"/>
    </row>
    <row r="45" spans="2:23">
      <c r="B45" s="52"/>
      <c r="C45" s="4"/>
      <c r="D45" s="123"/>
      <c r="E45" s="123"/>
      <c r="F45" s="123"/>
      <c r="G45" s="123"/>
      <c r="H45" s="123"/>
      <c r="I45" s="123"/>
      <c r="J45" s="123"/>
      <c r="K45" s="123"/>
      <c r="L45" s="123"/>
      <c r="M45" s="123"/>
      <c r="N45" s="123"/>
      <c r="O45" s="123"/>
      <c r="P45" s="123"/>
      <c r="Q45" s="123"/>
      <c r="R45" s="123"/>
      <c r="S45" s="123"/>
      <c r="T45" s="9"/>
      <c r="U45" s="9"/>
      <c r="V45" s="9"/>
      <c r="W45" s="9"/>
    </row>
    <row r="46" spans="2:23">
      <c r="B46" s="1"/>
      <c r="C46" s="9"/>
      <c r="D46" s="123"/>
      <c r="E46" s="123"/>
      <c r="F46" s="123"/>
      <c r="G46" s="123"/>
      <c r="H46" s="123"/>
      <c r="I46" s="123"/>
      <c r="J46" s="123"/>
      <c r="K46" s="123"/>
      <c r="L46" s="123"/>
      <c r="M46" s="123"/>
      <c r="N46" s="123"/>
      <c r="O46" s="123"/>
      <c r="P46" s="123"/>
      <c r="Q46" s="123"/>
      <c r="R46" s="123"/>
      <c r="S46" s="123"/>
      <c r="T46" s="9"/>
      <c r="U46" s="9"/>
      <c r="V46" s="9"/>
      <c r="W46" s="9"/>
    </row>
    <row r="47" spans="2:23">
      <c r="B47" s="1"/>
      <c r="C47" s="9"/>
      <c r="D47" s="123"/>
      <c r="E47" s="123"/>
      <c r="F47" s="123"/>
      <c r="G47" s="123"/>
      <c r="H47" s="123"/>
      <c r="I47" s="123"/>
      <c r="J47" s="123"/>
      <c r="K47" s="123"/>
      <c r="L47" s="123"/>
      <c r="M47" s="123"/>
      <c r="N47" s="123"/>
      <c r="O47" s="123"/>
      <c r="P47" s="123"/>
      <c r="Q47" s="123"/>
      <c r="R47" s="123"/>
      <c r="S47" s="123"/>
      <c r="T47" s="9"/>
      <c r="U47" s="9"/>
      <c r="V47" s="9"/>
      <c r="W47" s="9"/>
    </row>
    <row r="48" spans="2:23">
      <c r="B48" s="1"/>
      <c r="C48" s="9"/>
      <c r="D48" s="123"/>
      <c r="E48" s="123"/>
      <c r="F48" s="123"/>
      <c r="G48" s="123"/>
      <c r="H48" s="123"/>
      <c r="I48" s="123"/>
      <c r="J48" s="123"/>
      <c r="K48" s="123"/>
      <c r="L48" s="123"/>
      <c r="M48" s="123"/>
      <c r="N48" s="123"/>
      <c r="O48" s="123"/>
      <c r="P48" s="123"/>
      <c r="Q48" s="123"/>
      <c r="R48" s="123"/>
      <c r="S48" s="123"/>
      <c r="T48" s="9"/>
      <c r="U48" s="9"/>
      <c r="V48" s="9"/>
      <c r="W48" s="9"/>
    </row>
    <row r="49" spans="2:23">
      <c r="B49" s="1"/>
      <c r="C49" s="9"/>
      <c r="D49" s="123"/>
      <c r="E49" s="123"/>
      <c r="F49" s="123"/>
      <c r="G49" s="123"/>
      <c r="H49" s="123"/>
      <c r="I49" s="123"/>
      <c r="J49" s="123"/>
      <c r="K49" s="123"/>
      <c r="L49" s="123"/>
      <c r="M49" s="123"/>
      <c r="N49" s="123"/>
      <c r="O49" s="123"/>
      <c r="P49" s="123"/>
      <c r="Q49" s="123"/>
      <c r="R49" s="123"/>
      <c r="S49" s="123"/>
      <c r="T49" s="9"/>
      <c r="U49" s="9"/>
      <c r="V49" s="9"/>
      <c r="W49" s="9"/>
    </row>
    <row r="50" spans="2:23">
      <c r="B50" s="1"/>
      <c r="C50" s="9"/>
      <c r="D50" s="123"/>
      <c r="E50" s="123"/>
      <c r="F50" s="123"/>
      <c r="G50" s="123"/>
      <c r="H50" s="123"/>
      <c r="I50" s="123"/>
      <c r="J50" s="123"/>
      <c r="K50" s="123"/>
      <c r="L50" s="123"/>
      <c r="M50" s="123"/>
      <c r="N50" s="123"/>
      <c r="O50" s="123"/>
      <c r="P50" s="123"/>
      <c r="Q50" s="123"/>
      <c r="R50" s="123"/>
      <c r="S50" s="123"/>
      <c r="T50" s="9"/>
      <c r="U50" s="9"/>
      <c r="V50" s="9"/>
      <c r="W50" s="9"/>
    </row>
    <row r="51" spans="2:23">
      <c r="B51" s="1"/>
      <c r="C51" s="9"/>
      <c r="D51" s="123"/>
      <c r="E51" s="123"/>
      <c r="F51" s="123"/>
      <c r="G51" s="123"/>
      <c r="H51" s="123"/>
      <c r="I51" s="123"/>
      <c r="J51" s="123"/>
      <c r="K51" s="123"/>
      <c r="L51" s="123"/>
      <c r="M51" s="123"/>
      <c r="N51" s="123"/>
      <c r="O51" s="123"/>
      <c r="P51" s="123"/>
      <c r="Q51" s="123"/>
      <c r="R51" s="123"/>
      <c r="S51" s="123"/>
      <c r="T51" s="9"/>
      <c r="U51" s="9"/>
      <c r="V51" s="9"/>
      <c r="W51" s="9"/>
    </row>
    <row r="52" spans="2:23">
      <c r="B52" s="1"/>
      <c r="C52" s="9"/>
      <c r="D52" s="123"/>
      <c r="E52" s="123"/>
      <c r="F52" s="123"/>
      <c r="G52" s="123"/>
      <c r="H52" s="123"/>
      <c r="I52" s="123"/>
      <c r="J52" s="123"/>
      <c r="K52" s="123"/>
      <c r="L52" s="123"/>
      <c r="M52" s="123"/>
      <c r="N52" s="123"/>
      <c r="O52" s="123"/>
      <c r="P52" s="123"/>
      <c r="Q52" s="123"/>
      <c r="R52" s="123"/>
      <c r="S52" s="123"/>
      <c r="T52" s="9"/>
      <c r="U52" s="9"/>
      <c r="V52" s="9"/>
      <c r="W52" s="9"/>
    </row>
    <row r="53" spans="2:23">
      <c r="B53" s="1"/>
      <c r="C53" s="9"/>
      <c r="D53" s="123"/>
      <c r="E53" s="123"/>
      <c r="F53" s="123"/>
      <c r="G53" s="123"/>
      <c r="H53" s="123"/>
      <c r="I53" s="123"/>
      <c r="J53" s="123"/>
      <c r="K53" s="123"/>
      <c r="L53" s="123"/>
      <c r="M53" s="123"/>
      <c r="N53" s="123"/>
      <c r="O53" s="123"/>
      <c r="P53" s="123"/>
      <c r="Q53" s="123"/>
      <c r="R53" s="123"/>
      <c r="S53" s="123"/>
      <c r="T53" s="9"/>
      <c r="U53" s="9"/>
      <c r="V53" s="9"/>
      <c r="W53" s="9"/>
    </row>
    <row r="54" spans="2:23">
      <c r="B54" s="1"/>
      <c r="C54" s="9"/>
      <c r="D54" s="123"/>
      <c r="E54" s="123"/>
      <c r="F54" s="123"/>
      <c r="G54" s="123"/>
      <c r="H54" s="123"/>
      <c r="I54" s="123"/>
      <c r="J54" s="123"/>
      <c r="K54" s="123"/>
      <c r="L54" s="123"/>
      <c r="M54" s="123"/>
      <c r="N54" s="123"/>
      <c r="O54" s="123"/>
      <c r="P54" s="123"/>
      <c r="Q54" s="123"/>
      <c r="R54" s="123"/>
      <c r="S54" s="123"/>
      <c r="T54" s="9"/>
      <c r="U54" s="9"/>
      <c r="V54" s="9"/>
      <c r="W54" s="9"/>
    </row>
    <row r="55" spans="2:23">
      <c r="B55" s="1"/>
      <c r="C55" s="9"/>
      <c r="D55" s="123"/>
      <c r="E55" s="123"/>
      <c r="F55" s="123"/>
      <c r="G55" s="123"/>
      <c r="H55" s="123"/>
      <c r="I55" s="123"/>
      <c r="J55" s="123"/>
      <c r="K55" s="123"/>
      <c r="L55" s="123"/>
      <c r="M55" s="123"/>
      <c r="N55" s="123"/>
      <c r="O55" s="123"/>
      <c r="P55" s="123"/>
      <c r="Q55" s="123"/>
      <c r="R55" s="123"/>
      <c r="S55" s="123"/>
      <c r="T55" s="9"/>
      <c r="U55" s="9"/>
      <c r="V55" s="9"/>
      <c r="W55" s="9"/>
    </row>
    <row r="56" spans="2:23">
      <c r="B56" s="1"/>
      <c r="C56" s="9"/>
      <c r="D56" s="9"/>
      <c r="E56" s="9"/>
      <c r="F56" s="9"/>
      <c r="G56" s="9"/>
      <c r="H56" s="9"/>
      <c r="I56" s="9"/>
      <c r="J56" s="9"/>
      <c r="K56" s="9"/>
      <c r="L56" s="9"/>
      <c r="M56" s="9"/>
      <c r="N56" s="9"/>
      <c r="O56" s="9"/>
      <c r="P56" s="9"/>
      <c r="Q56" s="9"/>
      <c r="R56" s="9"/>
      <c r="S56" s="9"/>
      <c r="T56" s="9"/>
      <c r="U56" s="9"/>
      <c r="V56" s="9"/>
      <c r="W56" s="9"/>
    </row>
    <row r="57" spans="2:23">
      <c r="B57" s="1"/>
      <c r="C57" s="9"/>
      <c r="D57" s="9"/>
      <c r="E57" s="9"/>
      <c r="F57" s="9"/>
      <c r="G57" s="9"/>
      <c r="H57" s="9"/>
      <c r="I57" s="9"/>
      <c r="J57" s="9"/>
      <c r="K57" s="9"/>
      <c r="L57" s="9"/>
      <c r="M57" s="9"/>
      <c r="N57" s="9"/>
      <c r="O57" s="9"/>
      <c r="P57" s="9"/>
      <c r="Q57" s="9"/>
      <c r="R57" s="9"/>
      <c r="S57" s="9"/>
      <c r="T57" s="9"/>
      <c r="U57" s="9"/>
      <c r="V57" s="9"/>
      <c r="W57" s="9"/>
    </row>
    <row r="58" spans="2:23">
      <c r="B58" s="1"/>
      <c r="C58" s="9"/>
      <c r="D58" s="9"/>
      <c r="E58" s="9"/>
      <c r="F58" s="9"/>
      <c r="G58" s="9"/>
      <c r="H58" s="9"/>
      <c r="I58" s="9"/>
      <c r="J58" s="9"/>
      <c r="K58" s="9"/>
      <c r="L58" s="9"/>
      <c r="M58" s="9"/>
      <c r="N58" s="9"/>
      <c r="O58" s="9"/>
      <c r="P58" s="9"/>
      <c r="Q58" s="9"/>
      <c r="R58" s="9"/>
      <c r="S58" s="9"/>
      <c r="T58" s="9"/>
      <c r="U58" s="9"/>
      <c r="V58" s="9"/>
      <c r="W58" s="9"/>
    </row>
    <row r="59" spans="2:23">
      <c r="B59" s="1"/>
      <c r="C59" s="9"/>
      <c r="D59" s="9"/>
      <c r="E59" s="9"/>
      <c r="F59" s="9"/>
      <c r="G59" s="9"/>
      <c r="H59" s="9"/>
      <c r="I59" s="9"/>
      <c r="J59" s="9"/>
      <c r="K59" s="9"/>
      <c r="L59" s="9"/>
      <c r="M59" s="9"/>
      <c r="N59" s="9"/>
      <c r="O59" s="9"/>
      <c r="P59" s="9"/>
      <c r="Q59" s="9"/>
      <c r="R59" s="9"/>
      <c r="S59" s="9"/>
      <c r="T59" s="9"/>
      <c r="U59" s="9"/>
      <c r="V59" s="9"/>
      <c r="W59" s="9"/>
    </row>
    <row r="60" spans="2:23">
      <c r="B60" s="1"/>
      <c r="C60" s="9"/>
      <c r="D60" s="9"/>
      <c r="E60" s="9"/>
      <c r="F60" s="9"/>
      <c r="G60" s="9"/>
      <c r="H60" s="9"/>
      <c r="I60" s="9"/>
      <c r="J60" s="9"/>
      <c r="K60" s="9"/>
      <c r="L60" s="9"/>
      <c r="M60" s="9"/>
      <c r="N60" s="9"/>
      <c r="O60" s="9"/>
      <c r="P60" s="9"/>
      <c r="Q60" s="9"/>
      <c r="R60" s="9"/>
      <c r="S60" s="9"/>
      <c r="T60" s="9"/>
      <c r="U60" s="9"/>
      <c r="V60" s="9"/>
      <c r="W60" s="9"/>
    </row>
    <row r="61" spans="2:23">
      <c r="B61" s="1"/>
      <c r="C61" s="9"/>
      <c r="D61" s="9"/>
      <c r="E61" s="9"/>
      <c r="F61" s="9"/>
      <c r="G61" s="9"/>
      <c r="H61" s="9"/>
      <c r="I61" s="9"/>
      <c r="J61" s="9"/>
      <c r="K61" s="9"/>
      <c r="L61" s="9"/>
      <c r="M61" s="9"/>
      <c r="N61" s="9"/>
      <c r="O61" s="9"/>
      <c r="P61" s="9"/>
      <c r="Q61" s="9"/>
      <c r="R61" s="9"/>
      <c r="S61" s="9"/>
      <c r="T61" s="9"/>
      <c r="U61" s="9"/>
      <c r="V61" s="9"/>
      <c r="W61" s="9"/>
    </row>
    <row r="62" spans="2:23">
      <c r="B62" s="1"/>
      <c r="C62" s="9"/>
      <c r="D62" s="9"/>
      <c r="E62" s="9"/>
      <c r="F62" s="9"/>
      <c r="G62" s="9"/>
      <c r="H62" s="9"/>
      <c r="I62" s="9"/>
      <c r="J62" s="9"/>
      <c r="K62" s="9"/>
      <c r="L62" s="9"/>
      <c r="M62" s="9"/>
      <c r="N62" s="9"/>
      <c r="O62" s="9"/>
      <c r="P62" s="9"/>
      <c r="Q62" s="9"/>
      <c r="R62" s="9"/>
      <c r="S62" s="9"/>
      <c r="T62" s="9"/>
      <c r="U62" s="9"/>
      <c r="V62" s="9"/>
      <c r="W62" s="9"/>
    </row>
    <row r="63" spans="2:23">
      <c r="B63" s="1"/>
      <c r="C63" s="9"/>
      <c r="D63" s="9"/>
      <c r="E63" s="9"/>
      <c r="F63" s="9"/>
      <c r="G63" s="9"/>
      <c r="H63" s="9"/>
      <c r="I63" s="9"/>
      <c r="J63" s="9"/>
      <c r="K63" s="9"/>
      <c r="L63" s="9"/>
      <c r="M63" s="9"/>
      <c r="N63" s="9"/>
      <c r="O63" s="9"/>
      <c r="P63" s="9"/>
      <c r="Q63" s="9"/>
      <c r="R63" s="9"/>
      <c r="S63" s="9"/>
      <c r="T63" s="9"/>
      <c r="U63" s="9"/>
      <c r="V63" s="9"/>
      <c r="W63" s="9"/>
    </row>
    <row r="64" spans="2:23">
      <c r="B64" s="1"/>
      <c r="C64" s="9"/>
      <c r="D64" s="9"/>
      <c r="E64" s="9"/>
      <c r="F64" s="9"/>
      <c r="G64" s="9"/>
      <c r="H64" s="9"/>
      <c r="I64" s="9"/>
      <c r="J64" s="9"/>
      <c r="K64" s="9"/>
      <c r="L64" s="9"/>
      <c r="M64" s="9"/>
      <c r="N64" s="9"/>
      <c r="O64" s="9"/>
      <c r="P64" s="9"/>
      <c r="Q64" s="9"/>
      <c r="R64" s="9"/>
      <c r="S64" s="9"/>
      <c r="T64" s="9"/>
      <c r="U64" s="9"/>
      <c r="V64" s="9"/>
      <c r="W64" s="9"/>
    </row>
    <row r="65" spans="2:23">
      <c r="B65" s="1"/>
      <c r="C65" s="9"/>
      <c r="D65" s="9"/>
      <c r="E65" s="9"/>
      <c r="F65" s="9"/>
      <c r="G65" s="9"/>
      <c r="H65" s="9"/>
      <c r="I65" s="9"/>
      <c r="J65" s="9"/>
      <c r="K65" s="9"/>
      <c r="L65" s="9"/>
      <c r="M65" s="9"/>
      <c r="N65" s="9"/>
      <c r="O65" s="9"/>
      <c r="P65" s="9"/>
      <c r="Q65" s="9"/>
      <c r="R65" s="9"/>
      <c r="S65" s="9"/>
      <c r="T65" s="9"/>
      <c r="U65" s="9"/>
      <c r="V65" s="9"/>
      <c r="W65" s="9"/>
    </row>
    <row r="66" spans="2:23">
      <c r="B66" s="1"/>
      <c r="C66" s="9"/>
      <c r="D66" s="9"/>
      <c r="E66" s="9"/>
      <c r="F66" s="9"/>
      <c r="G66" s="9"/>
      <c r="H66" s="9"/>
      <c r="I66" s="9"/>
      <c r="J66" s="9"/>
      <c r="K66" s="9"/>
      <c r="L66" s="9"/>
      <c r="M66" s="9"/>
      <c r="N66" s="9"/>
      <c r="O66" s="9"/>
      <c r="P66" s="9"/>
      <c r="Q66" s="9"/>
      <c r="R66" s="9"/>
      <c r="S66" s="9"/>
      <c r="T66" s="9"/>
      <c r="U66" s="9"/>
      <c r="V66" s="9"/>
      <c r="W66" s="9"/>
    </row>
    <row r="67" spans="2:23">
      <c r="B67" s="1"/>
      <c r="C67" s="9"/>
      <c r="D67" s="9"/>
      <c r="E67" s="9"/>
      <c r="F67" s="9"/>
      <c r="G67" s="9"/>
      <c r="H67" s="9"/>
      <c r="I67" s="9"/>
      <c r="J67" s="9"/>
      <c r="K67" s="9"/>
      <c r="L67" s="9"/>
      <c r="M67" s="9"/>
      <c r="N67" s="9"/>
      <c r="O67" s="9"/>
      <c r="P67" s="9"/>
      <c r="Q67" s="9"/>
      <c r="R67" s="9"/>
      <c r="S67" s="9"/>
      <c r="T67" s="9"/>
      <c r="U67" s="9"/>
      <c r="V67" s="9"/>
      <c r="W67" s="9"/>
    </row>
    <row r="68" spans="2:23">
      <c r="B68" s="1"/>
      <c r="C68" s="9"/>
      <c r="D68" s="9"/>
      <c r="E68" s="9"/>
      <c r="F68" s="9"/>
      <c r="G68" s="9"/>
      <c r="H68" s="9"/>
      <c r="I68" s="9"/>
      <c r="J68" s="9"/>
      <c r="K68" s="9"/>
      <c r="L68" s="9"/>
      <c r="M68" s="9"/>
      <c r="N68" s="9"/>
      <c r="O68" s="9"/>
      <c r="P68" s="9"/>
      <c r="Q68" s="9"/>
      <c r="R68" s="9"/>
      <c r="S68" s="9"/>
      <c r="T68" s="9"/>
      <c r="U68" s="9"/>
      <c r="V68" s="9"/>
      <c r="W68" s="9"/>
    </row>
    <row r="69" spans="2:23">
      <c r="B69" s="1"/>
      <c r="C69" s="9"/>
      <c r="D69" s="9"/>
      <c r="E69" s="9"/>
      <c r="F69" s="9"/>
      <c r="G69" s="9"/>
      <c r="H69" s="9"/>
      <c r="I69" s="9"/>
      <c r="J69" s="9"/>
      <c r="K69" s="9"/>
      <c r="L69" s="9"/>
      <c r="M69" s="9"/>
      <c r="N69" s="9"/>
      <c r="O69" s="9"/>
      <c r="P69" s="9"/>
      <c r="Q69" s="9"/>
      <c r="R69" s="9"/>
      <c r="S69" s="9"/>
      <c r="T69" s="9"/>
      <c r="U69" s="9"/>
      <c r="V69" s="9"/>
      <c r="W69" s="9"/>
    </row>
    <row r="70" spans="2:23">
      <c r="B70" s="1"/>
      <c r="C70" s="9"/>
      <c r="D70" s="9"/>
      <c r="E70" s="9"/>
      <c r="F70" s="9"/>
      <c r="G70" s="9"/>
      <c r="H70" s="9"/>
      <c r="I70" s="9"/>
      <c r="J70" s="9"/>
      <c r="K70" s="9"/>
      <c r="L70" s="9"/>
      <c r="M70" s="9"/>
      <c r="N70" s="9"/>
      <c r="O70" s="9"/>
      <c r="P70" s="9"/>
      <c r="Q70" s="9"/>
      <c r="R70" s="9"/>
      <c r="S70" s="9"/>
      <c r="T70" s="9"/>
      <c r="U70" s="9"/>
      <c r="V70" s="9"/>
      <c r="W70" s="9"/>
    </row>
    <row r="71" spans="2:23">
      <c r="B71" s="1"/>
      <c r="C71" s="9"/>
      <c r="D71" s="9"/>
      <c r="E71" s="9"/>
      <c r="F71" s="9"/>
      <c r="G71" s="9"/>
      <c r="H71" s="9"/>
      <c r="I71" s="9"/>
      <c r="J71" s="9"/>
      <c r="K71" s="9"/>
      <c r="L71" s="9"/>
      <c r="M71" s="9"/>
      <c r="N71" s="9"/>
      <c r="O71" s="9"/>
      <c r="P71" s="9"/>
      <c r="Q71" s="9"/>
      <c r="R71" s="9"/>
      <c r="S71" s="9"/>
      <c r="T71" s="9"/>
      <c r="U71" s="9"/>
      <c r="V71" s="9"/>
      <c r="W71" s="9"/>
    </row>
    <row r="72" spans="2:23">
      <c r="B72" s="1"/>
      <c r="C72" s="9"/>
      <c r="D72" s="9"/>
      <c r="E72" s="9"/>
      <c r="F72" s="9"/>
      <c r="G72" s="9"/>
      <c r="H72" s="9"/>
      <c r="I72" s="9"/>
      <c r="J72" s="9"/>
      <c r="K72" s="9"/>
      <c r="L72" s="9"/>
      <c r="M72" s="9"/>
      <c r="N72" s="9"/>
      <c r="O72" s="9"/>
      <c r="P72" s="9"/>
      <c r="Q72" s="9"/>
      <c r="R72" s="9"/>
      <c r="S72" s="9"/>
      <c r="T72" s="9"/>
      <c r="U72" s="9"/>
      <c r="V72" s="9"/>
      <c r="W72" s="9"/>
    </row>
    <row r="73" spans="2:23">
      <c r="B73" s="1"/>
      <c r="C73" s="9"/>
      <c r="D73" s="9"/>
      <c r="E73" s="9"/>
      <c r="F73" s="9"/>
      <c r="G73" s="9"/>
      <c r="H73" s="9"/>
      <c r="I73" s="9"/>
      <c r="J73" s="9"/>
      <c r="K73" s="9"/>
      <c r="L73" s="9"/>
      <c r="M73" s="9"/>
      <c r="N73" s="9"/>
      <c r="O73" s="9"/>
      <c r="P73" s="9"/>
      <c r="Q73" s="9"/>
      <c r="R73" s="9"/>
      <c r="S73" s="9"/>
      <c r="T73" s="9"/>
      <c r="U73" s="9"/>
      <c r="V73" s="9"/>
      <c r="W73" s="9"/>
    </row>
    <row r="74" spans="2:23">
      <c r="B74" s="1"/>
      <c r="C74" s="9"/>
      <c r="D74" s="9"/>
      <c r="E74" s="9"/>
      <c r="F74" s="9"/>
      <c r="G74" s="9"/>
      <c r="H74" s="9"/>
      <c r="I74" s="9"/>
      <c r="J74" s="9"/>
      <c r="K74" s="9"/>
      <c r="L74" s="9"/>
      <c r="M74" s="9"/>
      <c r="N74" s="9"/>
      <c r="O74" s="9"/>
      <c r="P74" s="9"/>
      <c r="Q74" s="9"/>
      <c r="R74" s="9"/>
      <c r="S74" s="9"/>
      <c r="T74" s="9"/>
      <c r="U74" s="9"/>
      <c r="V74" s="9"/>
      <c r="W74" s="9"/>
    </row>
    <row r="75" spans="2:23">
      <c r="B75" s="1"/>
      <c r="C75" s="9"/>
      <c r="D75" s="9"/>
      <c r="E75" s="9"/>
      <c r="F75" s="9"/>
      <c r="G75" s="9"/>
      <c r="H75" s="9"/>
      <c r="I75" s="9"/>
      <c r="J75" s="9"/>
      <c r="K75" s="9"/>
      <c r="L75" s="9"/>
      <c r="M75" s="9"/>
      <c r="N75" s="9"/>
      <c r="O75" s="9"/>
      <c r="P75" s="9"/>
      <c r="Q75" s="9"/>
      <c r="R75" s="9"/>
      <c r="S75" s="9"/>
      <c r="T75" s="9"/>
      <c r="U75" s="9"/>
      <c r="V75" s="9"/>
      <c r="W75" s="9"/>
    </row>
    <row r="76" spans="2:23">
      <c r="B76" s="1"/>
      <c r="C76" s="9"/>
      <c r="D76" s="9"/>
      <c r="E76" s="9"/>
      <c r="F76" s="9"/>
      <c r="G76" s="9"/>
      <c r="H76" s="9"/>
      <c r="I76" s="9"/>
      <c r="J76" s="9"/>
      <c r="K76" s="9"/>
      <c r="L76" s="9"/>
      <c r="M76" s="9"/>
      <c r="N76" s="9"/>
      <c r="O76" s="9"/>
      <c r="P76" s="9"/>
      <c r="Q76" s="9"/>
      <c r="R76" s="9"/>
      <c r="S76" s="9"/>
      <c r="T76" s="9"/>
      <c r="U76" s="9"/>
      <c r="V76" s="9"/>
      <c r="W76" s="9"/>
    </row>
    <row r="77" spans="2:23">
      <c r="B77" s="1"/>
      <c r="C77" s="9"/>
      <c r="D77" s="9"/>
      <c r="E77" s="9"/>
      <c r="F77" s="9"/>
      <c r="G77" s="9"/>
      <c r="H77" s="9"/>
      <c r="I77" s="9"/>
      <c r="J77" s="9"/>
      <c r="K77" s="9"/>
      <c r="L77" s="9"/>
      <c r="M77" s="9"/>
      <c r="N77" s="9"/>
      <c r="O77" s="9"/>
      <c r="P77" s="9"/>
      <c r="Q77" s="9"/>
      <c r="R77" s="9"/>
      <c r="S77" s="9"/>
      <c r="T77" s="9"/>
      <c r="U77" s="9"/>
      <c r="V77" s="9"/>
      <c r="W77" s="9"/>
    </row>
    <row r="78" spans="2:23">
      <c r="B78" s="1"/>
      <c r="C78" s="9"/>
      <c r="D78" s="9"/>
      <c r="E78" s="9"/>
      <c r="F78" s="9"/>
      <c r="G78" s="9"/>
      <c r="H78" s="9"/>
      <c r="I78" s="9"/>
      <c r="J78" s="9"/>
      <c r="K78" s="9"/>
      <c r="L78" s="9"/>
      <c r="M78" s="9"/>
      <c r="N78" s="9"/>
      <c r="O78" s="9"/>
      <c r="P78" s="9"/>
      <c r="Q78" s="9"/>
      <c r="R78" s="9"/>
      <c r="S78" s="9"/>
      <c r="T78" s="9"/>
      <c r="U78" s="9"/>
      <c r="V78" s="9"/>
      <c r="W78" s="9"/>
    </row>
    <row r="79" spans="2:23">
      <c r="B79" s="1"/>
      <c r="C79" s="9"/>
      <c r="D79" s="9"/>
      <c r="E79" s="9"/>
      <c r="F79" s="9"/>
      <c r="G79" s="9"/>
      <c r="H79" s="9"/>
      <c r="I79" s="9"/>
      <c r="J79" s="9"/>
      <c r="K79" s="9"/>
      <c r="L79" s="9"/>
      <c r="M79" s="9"/>
      <c r="N79" s="9"/>
      <c r="O79" s="9"/>
      <c r="P79" s="9"/>
      <c r="Q79" s="9"/>
      <c r="R79" s="9"/>
      <c r="S79" s="9"/>
      <c r="T79" s="9"/>
      <c r="U79" s="9"/>
      <c r="V79" s="9"/>
      <c r="W79" s="9"/>
    </row>
    <row r="80" spans="2:23">
      <c r="B80" s="1"/>
      <c r="C80" s="9"/>
      <c r="D80" s="9"/>
      <c r="E80" s="9"/>
      <c r="F80" s="9"/>
      <c r="G80" s="9"/>
      <c r="H80" s="9"/>
      <c r="I80" s="9"/>
      <c r="J80" s="9"/>
      <c r="K80" s="9"/>
      <c r="L80" s="9"/>
      <c r="M80" s="9"/>
      <c r="N80" s="9"/>
      <c r="O80" s="9"/>
      <c r="P80" s="9"/>
      <c r="Q80" s="9"/>
      <c r="R80" s="9"/>
      <c r="S80" s="9"/>
      <c r="T80" s="9"/>
      <c r="U80" s="9"/>
      <c r="V80" s="9"/>
      <c r="W80" s="9"/>
    </row>
    <row r="81" spans="2:23">
      <c r="B81" s="1"/>
      <c r="C81" s="9"/>
      <c r="D81" s="9"/>
      <c r="E81" s="9"/>
      <c r="F81" s="9"/>
      <c r="G81" s="9"/>
      <c r="H81" s="9"/>
      <c r="I81" s="9"/>
      <c r="J81" s="9"/>
      <c r="K81" s="9"/>
      <c r="L81" s="9"/>
      <c r="M81" s="9"/>
      <c r="N81" s="9"/>
      <c r="O81" s="9"/>
      <c r="P81" s="9"/>
      <c r="Q81" s="9"/>
      <c r="R81" s="9"/>
      <c r="S81" s="9"/>
      <c r="T81" s="9"/>
      <c r="U81" s="9"/>
      <c r="V81" s="9"/>
      <c r="W81" s="9"/>
    </row>
    <row r="82" spans="2:23">
      <c r="B82" s="1"/>
      <c r="C82" s="9"/>
      <c r="D82" s="9"/>
      <c r="E82" s="9"/>
      <c r="F82" s="9"/>
      <c r="G82" s="9"/>
      <c r="H82" s="9"/>
      <c r="I82" s="9"/>
      <c r="J82" s="9"/>
      <c r="K82" s="9"/>
      <c r="L82" s="9"/>
      <c r="M82" s="9"/>
      <c r="N82" s="9"/>
      <c r="O82" s="9"/>
      <c r="P82" s="9"/>
      <c r="Q82" s="9"/>
      <c r="R82" s="9"/>
      <c r="S82" s="9"/>
      <c r="T82" s="9"/>
      <c r="U82" s="9"/>
      <c r="V82" s="9"/>
      <c r="W82" s="9"/>
    </row>
    <row r="83" spans="2:23">
      <c r="B83" s="1"/>
      <c r="C83" s="9"/>
      <c r="D83" s="9"/>
      <c r="E83" s="9"/>
      <c r="F83" s="9"/>
      <c r="G83" s="9"/>
      <c r="H83" s="9"/>
      <c r="I83" s="9"/>
      <c r="J83" s="9"/>
      <c r="K83" s="9"/>
      <c r="L83" s="9"/>
      <c r="M83" s="9"/>
      <c r="N83" s="9"/>
      <c r="O83" s="9"/>
      <c r="P83" s="9"/>
      <c r="Q83" s="9"/>
      <c r="R83" s="9"/>
      <c r="S83" s="9"/>
      <c r="T83" s="9"/>
      <c r="U83" s="9"/>
      <c r="V83" s="9"/>
      <c r="W83" s="9"/>
    </row>
    <row r="84" spans="2:23">
      <c r="B84" s="1"/>
      <c r="C84" s="9"/>
      <c r="D84" s="9"/>
      <c r="E84" s="9"/>
      <c r="F84" s="9"/>
      <c r="G84" s="9"/>
      <c r="H84" s="9"/>
      <c r="I84" s="9"/>
      <c r="J84" s="9"/>
      <c r="K84" s="9"/>
      <c r="L84" s="9"/>
      <c r="M84" s="9"/>
      <c r="N84" s="9"/>
      <c r="O84" s="9"/>
      <c r="P84" s="9"/>
      <c r="Q84" s="9"/>
      <c r="R84" s="9"/>
      <c r="S84" s="9"/>
      <c r="T84" s="9"/>
      <c r="U84" s="9"/>
      <c r="V84" s="9"/>
      <c r="W84" s="9"/>
    </row>
    <row r="85" spans="2:23">
      <c r="B85" s="1"/>
      <c r="C85" s="9"/>
      <c r="D85" s="9"/>
      <c r="E85" s="9"/>
      <c r="F85" s="9"/>
      <c r="G85" s="9"/>
      <c r="H85" s="9"/>
      <c r="I85" s="9"/>
      <c r="J85" s="9"/>
      <c r="K85" s="9"/>
      <c r="L85" s="9"/>
      <c r="M85" s="9"/>
      <c r="N85" s="9"/>
      <c r="O85" s="9"/>
      <c r="P85" s="9"/>
      <c r="Q85" s="9"/>
      <c r="R85" s="9"/>
      <c r="S85" s="9"/>
      <c r="T85" s="9"/>
      <c r="U85" s="9"/>
      <c r="V85" s="9"/>
      <c r="W85" s="9"/>
    </row>
    <row r="86" spans="2:23">
      <c r="B86" s="1"/>
      <c r="C86" s="9"/>
      <c r="D86" s="9"/>
      <c r="E86" s="9"/>
      <c r="F86" s="9"/>
      <c r="G86" s="9"/>
      <c r="H86" s="9"/>
      <c r="I86" s="9"/>
      <c r="J86" s="9"/>
      <c r="K86" s="9"/>
      <c r="L86" s="9"/>
      <c r="M86" s="9"/>
      <c r="N86" s="9"/>
      <c r="O86" s="9"/>
      <c r="P86" s="9"/>
      <c r="Q86" s="9"/>
      <c r="R86" s="9"/>
      <c r="S86" s="9"/>
      <c r="T86" s="9"/>
      <c r="U86" s="9"/>
      <c r="V86" s="9"/>
      <c r="W86" s="9"/>
    </row>
    <row r="87" spans="2:23">
      <c r="B87" s="1"/>
      <c r="C87" s="9"/>
      <c r="D87" s="9"/>
      <c r="E87" s="9"/>
      <c r="F87" s="9"/>
      <c r="G87" s="9"/>
      <c r="H87" s="9"/>
      <c r="I87" s="9"/>
      <c r="J87" s="9"/>
      <c r="K87" s="9"/>
      <c r="L87" s="9"/>
      <c r="M87" s="9"/>
      <c r="N87" s="9"/>
      <c r="O87" s="9"/>
      <c r="P87" s="9"/>
      <c r="Q87" s="9"/>
      <c r="R87" s="9"/>
      <c r="S87" s="9"/>
      <c r="T87" s="9"/>
      <c r="U87" s="9"/>
      <c r="V87" s="9"/>
      <c r="W87" s="9"/>
    </row>
    <row r="88" spans="2:23">
      <c r="B88" s="1"/>
      <c r="C88" s="9"/>
      <c r="D88" s="9"/>
      <c r="E88" s="9"/>
      <c r="F88" s="9"/>
      <c r="G88" s="9"/>
      <c r="H88" s="9"/>
      <c r="I88" s="9"/>
      <c r="J88" s="9"/>
      <c r="K88" s="9"/>
      <c r="L88" s="9"/>
      <c r="M88" s="9"/>
      <c r="N88" s="9"/>
      <c r="O88" s="9"/>
      <c r="P88" s="9"/>
      <c r="Q88" s="9"/>
      <c r="R88" s="9"/>
      <c r="S88" s="9"/>
      <c r="T88" s="9"/>
      <c r="U88" s="9"/>
      <c r="V88" s="9"/>
      <c r="W88" s="9"/>
    </row>
    <row r="89" spans="2:23">
      <c r="B89" s="1"/>
      <c r="C89" s="9"/>
      <c r="D89" s="9"/>
      <c r="E89" s="9"/>
      <c r="F89" s="9"/>
      <c r="G89" s="9"/>
      <c r="H89" s="9"/>
      <c r="I89" s="9"/>
      <c r="J89" s="9"/>
      <c r="K89" s="9"/>
      <c r="L89" s="9"/>
      <c r="M89" s="9"/>
      <c r="N89" s="9"/>
      <c r="O89" s="9"/>
      <c r="P89" s="9"/>
      <c r="Q89" s="9"/>
      <c r="R89" s="9"/>
      <c r="S89" s="9"/>
      <c r="T89" s="9"/>
      <c r="U89" s="9"/>
      <c r="V89" s="9"/>
      <c r="W89" s="9"/>
    </row>
    <row r="90" spans="2:23">
      <c r="B90" s="1"/>
      <c r="C90" s="9"/>
      <c r="D90" s="9"/>
      <c r="E90" s="9"/>
      <c r="F90" s="9"/>
      <c r="G90" s="9"/>
      <c r="H90" s="9"/>
      <c r="I90" s="9"/>
      <c r="J90" s="9"/>
      <c r="K90" s="9"/>
      <c r="L90" s="9"/>
      <c r="M90" s="9"/>
      <c r="N90" s="9"/>
      <c r="O90" s="9"/>
      <c r="P90" s="9"/>
      <c r="Q90" s="9"/>
      <c r="R90" s="9"/>
      <c r="S90" s="9"/>
      <c r="T90" s="9"/>
      <c r="U90" s="9"/>
      <c r="V90" s="9"/>
      <c r="W90" s="9"/>
    </row>
    <row r="91" spans="2:23">
      <c r="B91" s="1"/>
      <c r="C91" s="9"/>
      <c r="D91" s="9"/>
      <c r="E91" s="9"/>
      <c r="F91" s="9"/>
      <c r="G91" s="9"/>
      <c r="H91" s="9"/>
      <c r="I91" s="9"/>
      <c r="J91" s="9"/>
      <c r="K91" s="9"/>
      <c r="L91" s="9"/>
      <c r="M91" s="9"/>
      <c r="N91" s="9"/>
      <c r="O91" s="9"/>
      <c r="P91" s="9"/>
      <c r="Q91" s="9"/>
      <c r="R91" s="9"/>
      <c r="S91" s="9"/>
      <c r="T91" s="9"/>
      <c r="U91" s="9"/>
      <c r="V91" s="9"/>
      <c r="W91" s="9"/>
    </row>
    <row r="92" spans="2:23">
      <c r="B92" s="1"/>
      <c r="C92" s="9"/>
      <c r="D92" s="9"/>
      <c r="E92" s="9"/>
      <c r="F92" s="9"/>
      <c r="G92" s="9"/>
      <c r="H92" s="9"/>
      <c r="I92" s="9"/>
      <c r="J92" s="9"/>
      <c r="K92" s="9"/>
      <c r="L92" s="9"/>
      <c r="M92" s="9"/>
      <c r="N92" s="9"/>
      <c r="O92" s="9"/>
      <c r="P92" s="9"/>
      <c r="Q92" s="9"/>
      <c r="R92" s="9"/>
      <c r="S92" s="9"/>
      <c r="T92" s="9"/>
      <c r="U92" s="9"/>
      <c r="V92" s="9"/>
      <c r="W92" s="9"/>
    </row>
    <row r="93" spans="2:23">
      <c r="B93" s="1"/>
      <c r="C93" s="9"/>
      <c r="D93" s="9"/>
      <c r="E93" s="9"/>
      <c r="F93" s="9"/>
      <c r="G93" s="9"/>
      <c r="H93" s="9"/>
      <c r="I93" s="9"/>
      <c r="J93" s="9"/>
      <c r="K93" s="9"/>
      <c r="L93" s="9"/>
      <c r="M93" s="9"/>
      <c r="N93" s="9"/>
      <c r="O93" s="9"/>
      <c r="P93" s="9"/>
      <c r="Q93" s="9"/>
      <c r="R93" s="9"/>
      <c r="S93" s="9"/>
      <c r="T93" s="9"/>
      <c r="U93" s="9"/>
      <c r="V93" s="9"/>
      <c r="W93" s="9"/>
    </row>
    <row r="94" spans="2:23">
      <c r="B94" s="1"/>
      <c r="C94" s="9"/>
      <c r="D94" s="9"/>
      <c r="E94" s="9"/>
      <c r="F94" s="9"/>
      <c r="G94" s="9"/>
      <c r="H94" s="9"/>
      <c r="I94" s="9"/>
      <c r="J94" s="9"/>
      <c r="K94" s="9"/>
      <c r="L94" s="9"/>
      <c r="M94" s="9"/>
      <c r="N94" s="9"/>
      <c r="O94" s="9"/>
      <c r="P94" s="9"/>
      <c r="Q94" s="9"/>
      <c r="R94" s="9"/>
      <c r="S94" s="9"/>
      <c r="T94" s="9"/>
      <c r="U94" s="9"/>
      <c r="V94" s="9"/>
      <c r="W94" s="9"/>
    </row>
    <row r="95" spans="2:23">
      <c r="B95" s="1"/>
      <c r="C95" s="9"/>
      <c r="D95" s="9"/>
      <c r="E95" s="9"/>
      <c r="F95" s="9"/>
      <c r="G95" s="9"/>
      <c r="H95" s="9"/>
      <c r="I95" s="9"/>
      <c r="J95" s="9"/>
      <c r="K95" s="9"/>
      <c r="L95" s="9"/>
      <c r="M95" s="9"/>
      <c r="N95" s="9"/>
      <c r="O95" s="9"/>
      <c r="P95" s="9"/>
      <c r="Q95" s="9"/>
      <c r="R95" s="9"/>
      <c r="S95" s="9"/>
      <c r="T95" s="9"/>
      <c r="U95" s="9"/>
      <c r="V95" s="9"/>
      <c r="W95" s="9"/>
    </row>
    <row r="96" spans="2:23">
      <c r="B96" s="1"/>
      <c r="C96" s="9"/>
      <c r="D96" s="9"/>
      <c r="E96" s="9"/>
      <c r="F96" s="9"/>
      <c r="G96" s="9"/>
      <c r="H96" s="9"/>
      <c r="I96" s="9"/>
      <c r="J96" s="9"/>
      <c r="K96" s="9"/>
      <c r="L96" s="9"/>
      <c r="M96" s="9"/>
      <c r="N96" s="9"/>
      <c r="O96" s="9"/>
      <c r="P96" s="9"/>
      <c r="Q96" s="9"/>
      <c r="R96" s="9"/>
      <c r="S96" s="9"/>
      <c r="T96" s="9"/>
      <c r="U96" s="9"/>
      <c r="V96" s="9"/>
      <c r="W96" s="9"/>
    </row>
    <row r="97" spans="2:23">
      <c r="B97" s="1"/>
      <c r="C97" s="9"/>
      <c r="D97" s="9"/>
      <c r="E97" s="9"/>
      <c r="F97" s="9"/>
      <c r="G97" s="9"/>
      <c r="H97" s="9"/>
      <c r="I97" s="9"/>
      <c r="J97" s="9"/>
      <c r="K97" s="9"/>
      <c r="L97" s="9"/>
      <c r="M97" s="9"/>
      <c r="N97" s="9"/>
      <c r="O97" s="9"/>
      <c r="P97" s="9"/>
      <c r="Q97" s="9"/>
      <c r="R97" s="9"/>
      <c r="S97" s="9"/>
      <c r="T97" s="9"/>
      <c r="U97" s="9"/>
      <c r="V97" s="9"/>
      <c r="W97" s="9"/>
    </row>
    <row r="98" spans="2:23">
      <c r="B98" s="1"/>
      <c r="C98" s="9"/>
      <c r="D98" s="9"/>
      <c r="E98" s="9"/>
      <c r="F98" s="9"/>
      <c r="G98" s="9"/>
      <c r="H98" s="9"/>
      <c r="I98" s="9"/>
      <c r="J98" s="9"/>
      <c r="K98" s="9"/>
      <c r="L98" s="9"/>
      <c r="M98" s="9"/>
      <c r="N98" s="9"/>
      <c r="O98" s="9"/>
      <c r="P98" s="9"/>
      <c r="Q98" s="9"/>
      <c r="R98" s="9"/>
      <c r="S98" s="9"/>
      <c r="T98" s="9"/>
      <c r="U98" s="9"/>
      <c r="V98" s="9"/>
      <c r="W98" s="9"/>
    </row>
    <row r="99" spans="2:23">
      <c r="B99" s="1"/>
      <c r="C99" s="9"/>
      <c r="D99" s="9"/>
      <c r="E99" s="9"/>
      <c r="F99" s="9"/>
      <c r="G99" s="9"/>
      <c r="H99" s="9"/>
      <c r="I99" s="9"/>
      <c r="J99" s="9"/>
      <c r="K99" s="9"/>
      <c r="L99" s="9"/>
      <c r="M99" s="9"/>
      <c r="N99" s="9"/>
      <c r="O99" s="9"/>
      <c r="P99" s="9"/>
      <c r="Q99" s="9"/>
      <c r="R99" s="9"/>
      <c r="S99" s="9"/>
      <c r="T99" s="9"/>
      <c r="U99" s="9"/>
      <c r="V99" s="9"/>
      <c r="W99" s="9"/>
    </row>
    <row r="100" spans="2:23">
      <c r="B100" s="1"/>
      <c r="C100" s="9"/>
      <c r="D100" s="9"/>
      <c r="E100" s="9"/>
      <c r="F100" s="9"/>
      <c r="G100" s="9"/>
      <c r="H100" s="9"/>
      <c r="I100" s="9"/>
      <c r="J100" s="9"/>
      <c r="K100" s="9"/>
      <c r="L100" s="9"/>
      <c r="M100" s="9"/>
      <c r="N100" s="9"/>
      <c r="O100" s="9"/>
      <c r="P100" s="9"/>
      <c r="Q100" s="9"/>
      <c r="R100" s="9"/>
      <c r="S100" s="9"/>
      <c r="T100" s="9"/>
      <c r="U100" s="9"/>
      <c r="V100" s="9"/>
      <c r="W100" s="9"/>
    </row>
    <row r="101" spans="2:23">
      <c r="B101" s="1"/>
      <c r="C101" s="9"/>
      <c r="D101" s="9"/>
      <c r="E101" s="9"/>
      <c r="F101" s="9"/>
      <c r="G101" s="9"/>
      <c r="H101" s="9"/>
      <c r="I101" s="9"/>
      <c r="J101" s="9"/>
      <c r="K101" s="9"/>
      <c r="L101" s="9"/>
      <c r="M101" s="9"/>
      <c r="N101" s="9"/>
      <c r="O101" s="9"/>
      <c r="P101" s="9"/>
      <c r="Q101" s="9"/>
      <c r="R101" s="9"/>
      <c r="S101" s="9"/>
      <c r="T101" s="9"/>
      <c r="U101" s="9"/>
      <c r="V101" s="9"/>
      <c r="W101" s="9"/>
    </row>
    <row r="102" spans="2:23">
      <c r="B102" s="1"/>
      <c r="C102" s="9"/>
      <c r="D102" s="9"/>
      <c r="E102" s="9"/>
      <c r="F102" s="9"/>
      <c r="G102" s="9"/>
      <c r="H102" s="9"/>
      <c r="I102" s="9"/>
      <c r="J102" s="9"/>
      <c r="K102" s="9"/>
      <c r="L102" s="9"/>
      <c r="M102" s="9"/>
      <c r="N102" s="9"/>
      <c r="O102" s="9"/>
      <c r="P102" s="9"/>
      <c r="Q102" s="9"/>
      <c r="R102" s="9"/>
      <c r="S102" s="9"/>
      <c r="T102" s="9"/>
      <c r="U102" s="9"/>
      <c r="V102" s="9"/>
      <c r="W102" s="9"/>
    </row>
    <row r="103" spans="2:23">
      <c r="B103" s="1"/>
      <c r="C103" s="9"/>
      <c r="D103" s="9"/>
      <c r="E103" s="9"/>
      <c r="F103" s="9"/>
      <c r="G103" s="9"/>
      <c r="H103" s="9"/>
      <c r="I103" s="9"/>
      <c r="J103" s="9"/>
      <c r="K103" s="9"/>
      <c r="L103" s="9"/>
      <c r="M103" s="9"/>
      <c r="N103" s="9"/>
      <c r="O103" s="9"/>
      <c r="P103" s="9"/>
      <c r="Q103" s="9"/>
      <c r="R103" s="9"/>
      <c r="S103" s="9"/>
      <c r="T103" s="9"/>
      <c r="U103" s="9"/>
      <c r="V103" s="9"/>
      <c r="W103" s="9"/>
    </row>
    <row r="104" spans="2:23">
      <c r="B104" s="1"/>
      <c r="C104" s="9"/>
      <c r="D104" s="9"/>
      <c r="E104" s="9"/>
      <c r="F104" s="9"/>
      <c r="G104" s="9"/>
      <c r="H104" s="9"/>
      <c r="I104" s="9"/>
      <c r="J104" s="9"/>
      <c r="K104" s="9"/>
      <c r="L104" s="9"/>
      <c r="M104" s="9"/>
      <c r="N104" s="9"/>
      <c r="O104" s="9"/>
      <c r="P104" s="9"/>
      <c r="Q104" s="9"/>
      <c r="R104" s="9"/>
      <c r="S104" s="9"/>
      <c r="T104" s="9"/>
      <c r="U104" s="9"/>
      <c r="V104" s="9"/>
      <c r="W104" s="9"/>
    </row>
    <row r="105" spans="2:23">
      <c r="B105" s="1"/>
      <c r="C105" s="9"/>
      <c r="D105" s="9"/>
      <c r="E105" s="9"/>
      <c r="F105" s="9"/>
      <c r="G105" s="9"/>
      <c r="H105" s="9"/>
      <c r="I105" s="9"/>
      <c r="J105" s="9"/>
      <c r="K105" s="9"/>
      <c r="L105" s="9"/>
      <c r="M105" s="9"/>
      <c r="N105" s="9"/>
      <c r="O105" s="9"/>
      <c r="P105" s="9"/>
      <c r="Q105" s="9"/>
      <c r="R105" s="9"/>
      <c r="S105" s="9"/>
      <c r="T105" s="9"/>
      <c r="U105" s="9"/>
      <c r="V105" s="9"/>
      <c r="W105" s="9"/>
    </row>
  </sheetData>
  <mergeCells count="2">
    <mergeCell ref="N8:P8"/>
    <mergeCell ref="R8:T8"/>
  </mergeCells>
  <printOptions horizontalCentered="1"/>
  <pageMargins left="0.25" right="0.25" top="1" bottom="1" header="0.65" footer="0.5"/>
  <pageSetup scale="61" orientation="landscape" horizontalDpi="1200" verticalDpi="1200" r:id="rId1"/>
  <headerFooter alignWithMargins="0">
    <oddHeader xml:space="preserve">&amp;R&amp;16AEP - SPP Formula Rate
Schedule 1 Rates
Page: &amp;P of &amp;N
</oddHeader>
    <oddFooter xml:space="preserve">&amp;C &amp;R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S167"/>
  <sheetViews>
    <sheetView topLeftCell="G5" zoomScale="81" zoomScaleNormal="81" zoomScaleSheetLayoutView="90" zoomScalePageLayoutView="80" workbookViewId="0">
      <selection activeCell="P18" sqref="P18"/>
    </sheetView>
  </sheetViews>
  <sheetFormatPr defaultColWidth="8.81640625" defaultRowHeight="12.5"/>
  <cols>
    <col min="1" max="1" width="9.453125" style="12" customWidth="1"/>
    <col min="2" max="2" width="6.54296875" style="12" customWidth="1"/>
    <col min="3" max="3" width="24.54296875" style="12" customWidth="1"/>
    <col min="4" max="4" width="17.54296875" style="49" customWidth="1"/>
    <col min="5" max="5" width="21.54296875" style="12" customWidth="1"/>
    <col min="6" max="8" width="17.54296875" style="12" customWidth="1"/>
    <col min="9" max="9" width="19.54296875" style="771" customWidth="1"/>
    <col min="10" max="12" width="17.54296875" style="12" customWidth="1"/>
    <col min="13" max="13" width="20" style="12" customWidth="1"/>
    <col min="14" max="14" width="19.54296875" style="12" customWidth="1"/>
    <col min="15" max="15" width="19" style="12" customWidth="1"/>
    <col min="16" max="16" width="16.453125" style="12" customWidth="1"/>
    <col min="17" max="17" width="57.81640625" style="12" bestFit="1" customWidth="1"/>
    <col min="18" max="16384" width="8.81640625" style="12"/>
  </cols>
  <sheetData>
    <row r="1" spans="1:18" ht="15.5">
      <c r="A1" s="206"/>
    </row>
    <row r="2" spans="1:18" ht="17.5">
      <c r="A2" s="2290" t="str">
        <f>'PSO TCOS'!F4</f>
        <v xml:space="preserve">AEP West SPP Member Operating Companies </v>
      </c>
      <c r="B2" s="2290"/>
      <c r="C2" s="2290"/>
      <c r="D2" s="2290"/>
      <c r="E2" s="2290"/>
      <c r="F2" s="2290"/>
      <c r="G2" s="2290"/>
      <c r="H2" s="2290"/>
      <c r="I2" s="2290"/>
    </row>
    <row r="3" spans="1:18" ht="17.5">
      <c r="A3" s="2290" t="str">
        <f>+'PSO WS A-1 - Plant'!A3</f>
        <v xml:space="preserve">Actual / Projected 2024 Rate Year Cost of Service Formula Rate </v>
      </c>
      <c r="B3" s="2290"/>
      <c r="C3" s="2290"/>
      <c r="D3" s="2290"/>
      <c r="E3" s="2290"/>
      <c r="F3" s="2290"/>
      <c r="G3" s="2290"/>
      <c r="H3" s="2290"/>
      <c r="I3" s="2290"/>
      <c r="P3" s="928"/>
    </row>
    <row r="4" spans="1:18" ht="18">
      <c r="A4" s="2290" t="s">
        <v>656</v>
      </c>
      <c r="B4" s="2290"/>
      <c r="C4" s="2290"/>
      <c r="D4" s="2290"/>
      <c r="E4" s="2290"/>
      <c r="F4" s="2290"/>
      <c r="G4" s="2290"/>
      <c r="H4" s="2290"/>
      <c r="I4" s="2290"/>
    </row>
    <row r="5" spans="1:18" ht="18">
      <c r="A5" s="2291" t="str">
        <f>+'PSO TCOS'!F8</f>
        <v>PUBLIC SERVICE COMPANY OF OKLAHOMA</v>
      </c>
      <c r="B5" s="2291"/>
      <c r="C5" s="2291"/>
      <c r="D5" s="2291"/>
      <c r="E5" s="2291"/>
      <c r="F5" s="2291"/>
      <c r="G5" s="2291"/>
      <c r="H5" s="2291"/>
      <c r="I5" s="2291"/>
    </row>
    <row r="6" spans="1:18" ht="20">
      <c r="A6" s="36"/>
      <c r="C6" s="35"/>
      <c r="P6" s="928" t="s">
        <v>498</v>
      </c>
    </row>
    <row r="7" spans="1:18" ht="35.25" customHeight="1">
      <c r="A7" s="393" t="s">
        <v>308</v>
      </c>
      <c r="B7" s="929" t="s">
        <v>310</v>
      </c>
      <c r="C7" s="2347" t="str">
        <f>"Calculate Return and Income Taxes with "&amp;F12&amp;" basis point ROE increase for Projects Qualified for Incentive."</f>
        <v>Calculate Return and Income Taxes with 0 basis point ROE increase for Projects Qualified for Incentive.</v>
      </c>
      <c r="D7" s="2288"/>
      <c r="E7" s="2288"/>
      <c r="F7" s="2288"/>
      <c r="G7" s="2288"/>
      <c r="H7" s="2288"/>
      <c r="I7" s="2288"/>
      <c r="J7" s="2293" t="s">
        <v>430</v>
      </c>
      <c r="K7" s="2293"/>
      <c r="L7" s="2293"/>
      <c r="M7" s="2293"/>
      <c r="N7" s="2293"/>
    </row>
    <row r="8" spans="1:18" ht="15.75" customHeight="1">
      <c r="A8" s="393" t="s">
        <v>246</v>
      </c>
      <c r="C8" s="930"/>
      <c r="D8" s="930"/>
      <c r="E8" s="930"/>
      <c r="F8" s="930"/>
      <c r="G8" s="930"/>
      <c r="H8" s="930"/>
      <c r="I8" s="930"/>
      <c r="J8" s="2293"/>
      <c r="K8" s="2293"/>
      <c r="L8" s="2293"/>
      <c r="M8" s="2293"/>
      <c r="N8" s="2293"/>
      <c r="Q8" s="12" t="s">
        <v>166</v>
      </c>
    </row>
    <row r="9" spans="1:18" ht="15.5">
      <c r="C9" s="931" t="str">
        <f>"A.   Determine 'R' with hypothetical "&amp;F12&amp;" basis point increase in ROE for Identified Projects"</f>
        <v>A.   Determine 'R' with hypothetical 0 basis point increase in ROE for Identified Projects</v>
      </c>
      <c r="J9" s="2293"/>
      <c r="K9" s="2293"/>
      <c r="L9" s="2293"/>
      <c r="M9" s="2293"/>
      <c r="N9" s="2293"/>
      <c r="P9" s="932" t="s">
        <v>160</v>
      </c>
      <c r="Q9" s="928" t="s">
        <v>88</v>
      </c>
    </row>
    <row r="10" spans="1:18" ht="18" customHeight="1" thickBot="1">
      <c r="J10" s="2293"/>
      <c r="K10" s="2293"/>
      <c r="L10" s="2293"/>
      <c r="M10" s="2293"/>
      <c r="N10" s="2293"/>
      <c r="P10" s="928" t="s">
        <v>437</v>
      </c>
    </row>
    <row r="11" spans="1:18" ht="13.5" thickBot="1">
      <c r="A11" s="49">
        <v>1</v>
      </c>
      <c r="C11" s="179" t="str">
        <f>"   ROE w/o incentives  (TCOS, ln "&amp;'PSO TCOS'!B237&amp;")"</f>
        <v xml:space="preserve">   ROE w/o incentives  (TCOS, ln 143)</v>
      </c>
      <c r="E11" s="933"/>
      <c r="F11" s="934">
        <f>+'PSO TCOS'!J237</f>
        <v>0.105</v>
      </c>
      <c r="G11" s="934"/>
      <c r="H11" s="935"/>
      <c r="I11" s="936"/>
      <c r="J11" s="930"/>
      <c r="K11" s="930"/>
      <c r="L11" s="930"/>
      <c r="M11" s="930"/>
      <c r="N11" s="930"/>
      <c r="O11" s="937"/>
      <c r="P11" s="938" t="s">
        <v>479</v>
      </c>
      <c r="Q11" s="939" t="s">
        <v>87</v>
      </c>
      <c r="R11" s="561"/>
    </row>
    <row r="12" spans="1:18" ht="18" customHeight="1">
      <c r="A12" s="49">
        <f>+A11+1</f>
        <v>2</v>
      </c>
      <c r="C12" s="179" t="s">
        <v>148</v>
      </c>
      <c r="E12" s="933"/>
      <c r="F12" s="940">
        <v>0</v>
      </c>
      <c r="G12" s="941" t="s">
        <v>338</v>
      </c>
      <c r="I12" s="12"/>
      <c r="J12" s="2341" t="s">
        <v>192</v>
      </c>
      <c r="K12" s="2342"/>
      <c r="L12" s="2342"/>
      <c r="M12" s="2342"/>
      <c r="N12" s="2343"/>
      <c r="O12" s="937"/>
      <c r="P12" s="1092">
        <v>2024</v>
      </c>
      <c r="Q12" s="942" t="s">
        <v>51</v>
      </c>
      <c r="R12" s="561"/>
    </row>
    <row r="13" spans="1:18" ht="17.25" customHeight="1">
      <c r="A13" s="49">
        <f>+A12+1</f>
        <v>3</v>
      </c>
      <c r="C13" s="179" t="str">
        <f>"   ROE with additional "&amp;F12&amp;" basis point incentive"</f>
        <v xml:space="preserve">   ROE with additional 0 basis point incentive</v>
      </c>
      <c r="D13" s="933"/>
      <c r="E13" s="933"/>
      <c r="F13" s="943">
        <f>IF((F11+(F12/10000)&gt;0.1245),"ERROR",F11+(F12/10000))</f>
        <v>0.105</v>
      </c>
      <c r="G13" s="944" t="s">
        <v>655</v>
      </c>
      <c r="I13" s="937"/>
      <c r="J13" s="2344"/>
      <c r="K13" s="2345"/>
      <c r="L13" s="2345"/>
      <c r="M13" s="2345"/>
      <c r="N13" s="2346"/>
      <c r="O13" s="937"/>
      <c r="P13" s="945">
        <f>+F11</f>
        <v>0.105</v>
      </c>
      <c r="Q13" s="12" t="str">
        <f>+C11</f>
        <v xml:space="preserve">   ROE w/o incentives  (TCOS, ln 143)</v>
      </c>
      <c r="R13" s="49"/>
    </row>
    <row r="14" spans="1:18" ht="16.5" customHeight="1">
      <c r="A14" s="49">
        <f t="shared" ref="A14:A73" si="0">+A13+1</f>
        <v>4</v>
      </c>
      <c r="C14" s="946" t="str">
        <f>"   Determine R  (cost of long term debt, cost of preferred stock and percent is from TCOS, lns "&amp;'PSO TCOS'!B235&amp;" through "&amp;'PSO TCOS'!B237&amp;")"</f>
        <v xml:space="preserve">   Determine R  (cost of long term debt, cost of preferred stock and percent is from TCOS, lns 141 through 143)</v>
      </c>
      <c r="E14" s="933"/>
      <c r="F14" s="943"/>
      <c r="G14" s="943"/>
      <c r="H14" s="933"/>
      <c r="I14" s="937"/>
      <c r="J14" s="2344"/>
      <c r="K14" s="2345"/>
      <c r="L14" s="2345"/>
      <c r="M14" s="2345"/>
      <c r="N14" s="2346"/>
      <c r="O14" s="937"/>
      <c r="P14" s="947">
        <v>0</v>
      </c>
      <c r="Q14" s="942" t="s">
        <v>148</v>
      </c>
      <c r="R14" s="49"/>
    </row>
    <row r="15" spans="1:18" ht="16.5" customHeight="1">
      <c r="A15" s="49">
        <f t="shared" si="0"/>
        <v>5</v>
      </c>
      <c r="C15" s="937"/>
      <c r="D15" s="948" t="s">
        <v>285</v>
      </c>
      <c r="E15" s="948" t="s">
        <v>284</v>
      </c>
      <c r="F15" s="949" t="s">
        <v>370</v>
      </c>
      <c r="G15" s="949"/>
      <c r="H15" s="933"/>
      <c r="I15" s="937"/>
      <c r="J15" s="950"/>
      <c r="K15" s="951"/>
      <c r="L15" s="951"/>
      <c r="M15" s="951"/>
      <c r="N15" s="952"/>
      <c r="O15" s="937"/>
      <c r="P15" s="953">
        <f>+D16</f>
        <v>0.48032000660675805</v>
      </c>
      <c r="Q15" s="954" t="s">
        <v>440</v>
      </c>
      <c r="R15" s="49"/>
    </row>
    <row r="16" spans="1:18">
      <c r="A16" s="49">
        <f t="shared" si="0"/>
        <v>6</v>
      </c>
      <c r="C16" s="955" t="s">
        <v>373</v>
      </c>
      <c r="D16" s="956">
        <f>'PSO TCOS'!G235</f>
        <v>0.48032000660675805</v>
      </c>
      <c r="E16" s="957">
        <f>+'PSO TCOS'!J235</f>
        <v>4.2750444469652191E-2</v>
      </c>
      <c r="F16" s="958">
        <f>E16*D16</f>
        <v>2.0533893770105182E-2</v>
      </c>
      <c r="G16" s="959"/>
      <c r="H16" s="933"/>
      <c r="I16" s="937"/>
      <c r="J16" s="960"/>
      <c r="K16" s="930"/>
      <c r="L16" s="930"/>
      <c r="M16" s="930"/>
      <c r="N16" s="961"/>
      <c r="O16" s="962"/>
      <c r="P16" s="953">
        <f>+E16</f>
        <v>4.2750444469652191E-2</v>
      </c>
      <c r="Q16" s="954" t="s">
        <v>441</v>
      </c>
      <c r="R16" s="49"/>
    </row>
    <row r="17" spans="1:19">
      <c r="A17" s="49">
        <f t="shared" si="0"/>
        <v>7</v>
      </c>
      <c r="C17" s="955" t="s">
        <v>374</v>
      </c>
      <c r="D17" s="956">
        <f>'PSO TCOS'!G236</f>
        <v>0</v>
      </c>
      <c r="E17" s="957">
        <f>+'PSO TCOS'!J236</f>
        <v>0</v>
      </c>
      <c r="F17" s="958">
        <f>E17*D17</f>
        <v>0</v>
      </c>
      <c r="G17" s="959"/>
      <c r="H17" s="963"/>
      <c r="I17" s="963"/>
      <c r="J17" s="964"/>
      <c r="K17" s="965"/>
      <c r="L17" s="937" t="s">
        <v>371</v>
      </c>
      <c r="M17" s="937" t="s">
        <v>432</v>
      </c>
      <c r="N17" s="966" t="s">
        <v>372</v>
      </c>
      <c r="O17" s="967"/>
      <c r="P17" s="953">
        <f>+D17</f>
        <v>0</v>
      </c>
      <c r="Q17" s="954" t="s">
        <v>442</v>
      </c>
      <c r="R17" s="49"/>
    </row>
    <row r="18" spans="1:19">
      <c r="A18" s="49">
        <f t="shared" si="0"/>
        <v>8</v>
      </c>
      <c r="C18" s="955" t="s">
        <v>366</v>
      </c>
      <c r="D18" s="956">
        <f>'PSO TCOS'!G237</f>
        <v>0.51967999339324189</v>
      </c>
      <c r="E18" s="957">
        <f>+F13</f>
        <v>0.105</v>
      </c>
      <c r="F18" s="968">
        <f>E18*D18</f>
        <v>5.4566399306290397E-2</v>
      </c>
      <c r="G18" s="969"/>
      <c r="H18" s="963"/>
      <c r="I18" s="963"/>
      <c r="J18" s="970"/>
      <c r="N18" s="942"/>
      <c r="O18" s="967"/>
      <c r="P18" s="953">
        <f>+E17</f>
        <v>0</v>
      </c>
      <c r="Q18" s="954" t="s">
        <v>443</v>
      </c>
      <c r="R18" s="49"/>
    </row>
    <row r="19" spans="1:19" ht="13" thickBot="1">
      <c r="A19" s="49">
        <f t="shared" si="0"/>
        <v>9</v>
      </c>
      <c r="C19" s="179"/>
      <c r="D19" s="933"/>
      <c r="E19" s="971" t="s">
        <v>375</v>
      </c>
      <c r="F19" s="958">
        <f>SUM(F16:F18)</f>
        <v>7.5100293076395583E-2</v>
      </c>
      <c r="G19" s="959"/>
      <c r="H19" s="972"/>
      <c r="I19" s="963"/>
      <c r="J19" s="973" t="s">
        <v>428</v>
      </c>
      <c r="K19" s="974">
        <f>+'PSO TCOS'!$N$2</f>
        <v>2024</v>
      </c>
      <c r="L19" s="975">
        <f>+P44</f>
        <v>0</v>
      </c>
      <c r="M19" s="975">
        <f>+P45</f>
        <v>0</v>
      </c>
      <c r="N19" s="976">
        <f>+P46</f>
        <v>0</v>
      </c>
      <c r="O19" s="967"/>
      <c r="P19" s="953">
        <f>+D18</f>
        <v>0.51967999339324189</v>
      </c>
      <c r="Q19" s="977" t="s">
        <v>444</v>
      </c>
      <c r="R19" s="49"/>
    </row>
    <row r="20" spans="1:19" ht="13">
      <c r="A20" s="49"/>
      <c r="D20" s="978"/>
      <c r="E20" s="978"/>
      <c r="F20" s="963"/>
      <c r="G20" s="963"/>
      <c r="H20" s="963"/>
      <c r="I20" s="963"/>
      <c r="J20" s="979"/>
      <c r="K20" s="979"/>
      <c r="L20" s="979"/>
      <c r="M20" s="979"/>
      <c r="N20" s="979"/>
      <c r="O20" s="963"/>
      <c r="P20" s="980">
        <f>+E23</f>
        <v>687940507.97900021</v>
      </c>
      <c r="Q20" s="981" t="str">
        <f>+C23</f>
        <v xml:space="preserve">   Rate Base  (TCOS, ln 63)</v>
      </c>
      <c r="R20" s="561"/>
    </row>
    <row r="21" spans="1:19" ht="15.5">
      <c r="A21" s="49"/>
      <c r="C21" s="931" t="str">
        <f>"B.   Determine Return using 'R' with hypothetical "&amp;F12&amp;" basis point ROE increase for Identified Projects."</f>
        <v>B.   Determine Return using 'R' with hypothetical 0 basis point ROE increase for Identified Projects.</v>
      </c>
      <c r="D21" s="978"/>
      <c r="E21" s="978"/>
      <c r="F21" s="963"/>
      <c r="G21" s="963"/>
      <c r="H21" s="963"/>
      <c r="I21" s="933"/>
      <c r="J21" s="982"/>
      <c r="K21" s="979"/>
      <c r="L21" s="979"/>
      <c r="M21" s="979"/>
      <c r="N21" s="979"/>
      <c r="O21" s="963"/>
      <c r="P21" s="983">
        <f>+F30</f>
        <v>0.24025699999999994</v>
      </c>
      <c r="Q21" s="942" t="str">
        <f>+C30</f>
        <v xml:space="preserve">   Tax Rate  (TCOS, ln 99)</v>
      </c>
      <c r="R21" s="49"/>
    </row>
    <row r="22" spans="1:19">
      <c r="A22" s="49"/>
      <c r="C22" s="937"/>
      <c r="D22" s="978"/>
      <c r="E22" s="978"/>
      <c r="F22" s="963"/>
      <c r="G22" s="963"/>
      <c r="H22" s="963"/>
      <c r="I22" s="963"/>
      <c r="J22" s="979"/>
      <c r="K22" s="979"/>
      <c r="L22" s="979"/>
      <c r="M22" s="979"/>
      <c r="N22" s="979"/>
      <c r="O22" s="963"/>
      <c r="P22" s="984">
        <f>+F33</f>
        <v>171132.45451701357</v>
      </c>
      <c r="Q22" s="942" t="str">
        <f>+C33</f>
        <v xml:space="preserve">   ITC Adjustment  (TCOS, ln 108)</v>
      </c>
      <c r="R22" s="49"/>
    </row>
    <row r="23" spans="1:19">
      <c r="A23" s="49">
        <f>+A19+1</f>
        <v>10</v>
      </c>
      <c r="C23" s="179" t="str">
        <f>"   Rate Base  (TCOS, ln "&amp;'PSO TCOS'!B113&amp;")"</f>
        <v xml:space="preserve">   Rate Base  (TCOS, ln 63)</v>
      </c>
      <c r="D23" s="933"/>
      <c r="E23" s="985">
        <f>+'PSO TCOS'!L113</f>
        <v>687940507.97900021</v>
      </c>
      <c r="F23" s="986"/>
      <c r="G23" s="986"/>
      <c r="H23" s="963"/>
      <c r="I23" s="963"/>
      <c r="J23" s="979"/>
      <c r="K23" s="979"/>
      <c r="L23" s="979"/>
      <c r="M23" s="979"/>
      <c r="N23" s="979"/>
      <c r="O23" s="963"/>
      <c r="P23" s="984">
        <f>+F34</f>
        <v>-1451892.2478111866</v>
      </c>
      <c r="Q23" s="942" t="str">
        <f>+C34</f>
        <v xml:space="preserve">   Excess DFIT Adjustment  (TCOS, ln 109)</v>
      </c>
      <c r="R23" s="49"/>
    </row>
    <row r="24" spans="1:19">
      <c r="A24" s="49">
        <f t="shared" si="0"/>
        <v>11</v>
      </c>
      <c r="C24" s="937" t="s">
        <v>344</v>
      </c>
      <c r="D24" s="935"/>
      <c r="E24" s="987">
        <f>F19</f>
        <v>7.5100293076395583E-2</v>
      </c>
      <c r="F24" s="963"/>
      <c r="G24" s="963"/>
      <c r="H24" s="963"/>
      <c r="I24" s="963"/>
      <c r="J24" s="979"/>
      <c r="K24" s="979"/>
      <c r="L24" s="979"/>
      <c r="M24" s="979"/>
      <c r="N24" s="979"/>
      <c r="O24" s="963"/>
      <c r="P24" s="984">
        <f>+F35</f>
        <v>100629.70641072042</v>
      </c>
      <c r="Q24" s="942" t="str">
        <f>+C35</f>
        <v xml:space="preserve">   Tax Effect of Permanent and Flow Through Differences  (TCOS, ln 110)</v>
      </c>
      <c r="R24" s="49"/>
    </row>
    <row r="25" spans="1:19" ht="15.5">
      <c r="A25" s="49">
        <f t="shared" si="0"/>
        <v>12</v>
      </c>
      <c r="C25" s="988" t="s">
        <v>376</v>
      </c>
      <c r="D25" s="988"/>
      <c r="E25" s="967">
        <f>E23*E24</f>
        <v>51664533.768347368</v>
      </c>
      <c r="F25" s="963"/>
      <c r="G25" s="963"/>
      <c r="H25" s="963"/>
      <c r="I25" s="963"/>
      <c r="J25" s="570"/>
      <c r="K25" s="570"/>
      <c r="L25" s="570"/>
      <c r="M25" s="570"/>
      <c r="N25" s="582"/>
      <c r="O25" s="967"/>
      <c r="P25" s="984">
        <f>+F42</f>
        <v>134973025.19654</v>
      </c>
      <c r="Q25" s="942" t="str">
        <f>+C42</f>
        <v xml:space="preserve">   Net Revenue Requirement  (TCOS, ln 117)</v>
      </c>
      <c r="R25" s="49"/>
    </row>
    <row r="26" spans="1:19" ht="20">
      <c r="A26" s="49"/>
      <c r="C26" s="988"/>
      <c r="D26" s="937"/>
      <c r="E26" s="937"/>
      <c r="F26" s="963"/>
      <c r="G26" s="963"/>
      <c r="H26" s="963"/>
      <c r="I26" s="963"/>
      <c r="J26" s="989" t="s">
        <v>128</v>
      </c>
      <c r="K26" s="990" t="s">
        <v>438</v>
      </c>
      <c r="L26" s="991"/>
      <c r="M26" s="991"/>
      <c r="N26" s="992"/>
      <c r="O26" s="967"/>
      <c r="P26" s="984">
        <f>+F43</f>
        <v>51664533.768347368</v>
      </c>
      <c r="Q26" s="942" t="str">
        <f>+C43</f>
        <v xml:space="preserve">   Return  (TCOS, ln 112)</v>
      </c>
      <c r="R26" s="49"/>
    </row>
    <row r="27" spans="1:19" ht="18">
      <c r="A27" s="49"/>
      <c r="C27" s="931" t="str">
        <f>"C.   Determine Income Taxes using Return with hypothetical "&amp;F12&amp;" basis point ROE increase for Identified Projects."</f>
        <v>C.   Determine Income Taxes using Return with hypothetical 0 basis point ROE increase for Identified Projects.</v>
      </c>
      <c r="D27" s="993"/>
      <c r="E27" s="993"/>
      <c r="F27" s="994"/>
      <c r="G27" s="994"/>
      <c r="H27" s="994"/>
      <c r="I27" s="994"/>
      <c r="J27" s="967"/>
      <c r="K27" s="995" t="s">
        <v>427</v>
      </c>
      <c r="L27" s="996"/>
      <c r="M27" s="996"/>
      <c r="N27" s="992"/>
      <c r="O27" s="997"/>
      <c r="P27" s="984">
        <f>+F44</f>
        <v>10690821.179445541</v>
      </c>
      <c r="Q27" s="942" t="str">
        <f>+C44</f>
        <v xml:space="preserve">   Income Taxes  (TCOS, ln 111)</v>
      </c>
      <c r="R27" s="49"/>
    </row>
    <row r="28" spans="1:19" ht="14.25" customHeight="1">
      <c r="A28" s="49"/>
      <c r="C28" s="179"/>
      <c r="D28" s="937"/>
      <c r="E28" s="937"/>
      <c r="F28" s="963"/>
      <c r="G28" s="963"/>
      <c r="H28" s="963"/>
      <c r="I28" s="963"/>
      <c r="O28" s="967"/>
      <c r="P28" s="984">
        <f>+F45</f>
        <v>0</v>
      </c>
      <c r="Q28" s="942" t="str">
        <f>C45</f>
        <v xml:space="preserve">  Gross Margin Taxes  (TCOS, ln 116)</v>
      </c>
      <c r="R28" s="49"/>
      <c r="S28" s="561"/>
    </row>
    <row r="29" spans="1:19" ht="19.5" customHeight="1">
      <c r="A29" s="49">
        <f>+A25+1</f>
        <v>13</v>
      </c>
      <c r="C29" s="937" t="s">
        <v>377</v>
      </c>
      <c r="D29" s="971"/>
      <c r="F29" s="986">
        <f>E25</f>
        <v>51664533.768347368</v>
      </c>
      <c r="G29" s="963"/>
      <c r="H29" s="963"/>
      <c r="I29" s="963"/>
      <c r="O29" s="963"/>
      <c r="P29" s="984">
        <f>+F55</f>
        <v>27491329.543581594</v>
      </c>
      <c r="Q29" s="942" t="str">
        <f>+C55</f>
        <v xml:space="preserve">   Less: Depreciation  (TCOS, ln 86)</v>
      </c>
      <c r="R29" s="49"/>
    </row>
    <row r="30" spans="1:19">
      <c r="A30" s="49">
        <f t="shared" si="0"/>
        <v>14</v>
      </c>
      <c r="C30" s="179" t="str">
        <f>"   Tax Rate  (TCOS, ln "&amp;'PSO TCOS'!B168&amp;")"</f>
        <v xml:space="preserve">   Tax Rate  (TCOS, ln 99)</v>
      </c>
      <c r="D30" s="971"/>
      <c r="F30" s="945">
        <f>+'PSO TCOS'!G168</f>
        <v>0.24025699999999994</v>
      </c>
      <c r="G30" s="963"/>
      <c r="H30" s="963"/>
      <c r="I30" s="963"/>
      <c r="O30" s="963"/>
      <c r="P30" s="983">
        <f>+F61</f>
        <v>0</v>
      </c>
      <c r="Q30" s="942" t="str">
        <f>+C61</f>
        <v xml:space="preserve">       Apportionment Factor to Texas (Worksheet K, ln 12)</v>
      </c>
      <c r="R30" s="49"/>
    </row>
    <row r="31" spans="1:19">
      <c r="A31" s="49">
        <f t="shared" si="0"/>
        <v>15</v>
      </c>
      <c r="C31" s="937" t="s">
        <v>199</v>
      </c>
      <c r="F31" s="943">
        <f>IF(F16&gt;0,($F30/(1-$F30))*(1-$F16/$F19),0)</f>
        <v>0.22976983242616258</v>
      </c>
      <c r="P31" s="984">
        <f>+F71</f>
        <v>800198988.26538479</v>
      </c>
      <c r="Q31" s="942" t="str">
        <f>+C71</f>
        <v xml:space="preserve">   Net Transmission Plant  (TCOS, ln 37)</v>
      </c>
      <c r="R31" s="49"/>
    </row>
    <row r="32" spans="1:19">
      <c r="A32" s="49">
        <f t="shared" si="0"/>
        <v>16</v>
      </c>
      <c r="C32" s="988" t="s">
        <v>200</v>
      </c>
      <c r="F32" s="998">
        <f>F29*F31</f>
        <v>11870951.266328992</v>
      </c>
      <c r="P32" s="999">
        <f>+F77</f>
        <v>0.13431870975736884</v>
      </c>
      <c r="Q32" s="1000" t="str">
        <f>+C77</f>
        <v xml:space="preserve">   FCR less Depreciation  (TCOS, ln 10)</v>
      </c>
      <c r="R32" s="49"/>
    </row>
    <row r="33" spans="1:19" ht="15.5">
      <c r="A33" s="49">
        <f t="shared" si="0"/>
        <v>17</v>
      </c>
      <c r="C33" s="179" t="str">
        <f>"   ITC Adjustment  (TCOS, ln "&amp;'PSO TCOS'!B178&amp;")"</f>
        <v xml:space="preserve">   ITC Adjustment  (TCOS, ln 108)</v>
      </c>
      <c r="D33" s="570"/>
      <c r="F33" s="963">
        <f>+'PSO TCOS'!L178</f>
        <v>171132.45451701357</v>
      </c>
      <c r="G33" s="570"/>
      <c r="H33" s="570"/>
      <c r="I33" s="570"/>
      <c r="O33" s="570"/>
      <c r="P33" s="1001">
        <f>+F81</f>
        <v>1264681127.2407694</v>
      </c>
      <c r="Q33" s="1000" t="str">
        <f>+C81</f>
        <v>Transmission Plant Average Balance for 2024 (WS A-1 Ln 14 Col (d))</v>
      </c>
      <c r="R33" s="49"/>
      <c r="S33" s="561"/>
    </row>
    <row r="34" spans="1:19" ht="15.5">
      <c r="A34" s="49">
        <f t="shared" si="0"/>
        <v>18</v>
      </c>
      <c r="C34" s="179" t="str">
        <f>"   Excess DFIT Adjustment  (TCOS, ln "&amp;'PSO TCOS'!B179&amp;")"</f>
        <v xml:space="preserve">   Excess DFIT Adjustment  (TCOS, ln 109)</v>
      </c>
      <c r="D34" s="570"/>
      <c r="F34" s="963">
        <f>+'PSO TCOS'!L179</f>
        <v>-1451892.2478111866</v>
      </c>
      <c r="G34" s="570"/>
      <c r="H34" s="570"/>
      <c r="I34" s="570"/>
      <c r="O34" s="570"/>
      <c r="P34" s="925">
        <f>+F82</f>
        <v>34344533</v>
      </c>
      <c r="Q34" s="1002" t="str">
        <f>+C82</f>
        <v>Annual Depreciation Expense  (TCOS, ln 86)</v>
      </c>
      <c r="R34" s="49"/>
      <c r="S34" s="561"/>
    </row>
    <row r="35" spans="1:19" ht="15.5">
      <c r="A35" s="49">
        <f t="shared" si="0"/>
        <v>19</v>
      </c>
      <c r="C35" s="179" t="str">
        <f>"   Tax Effect of Permanent and Flow Through Differences  (TCOS, ln "&amp;'PSO TCOS'!B180&amp;")"</f>
        <v xml:space="preserve">   Tax Effect of Permanent and Flow Through Differences  (TCOS, ln 110)</v>
      </c>
      <c r="D35" s="570"/>
      <c r="F35" s="963">
        <f>+'PSO TCOS'!L180</f>
        <v>100629.70641072042</v>
      </c>
      <c r="G35" s="570"/>
      <c r="H35" s="570"/>
      <c r="I35" s="570"/>
      <c r="O35" s="570"/>
      <c r="R35" s="49"/>
      <c r="S35" s="561"/>
    </row>
    <row r="36" spans="1:19" ht="15.5">
      <c r="A36" s="49">
        <f t="shared" si="0"/>
        <v>20</v>
      </c>
      <c r="C36" s="988" t="s">
        <v>378</v>
      </c>
      <c r="D36" s="570"/>
      <c r="F36" s="1003">
        <f>+SUM(F32:F35)</f>
        <v>10690821.179445541</v>
      </c>
      <c r="G36" s="570"/>
      <c r="H36" s="570"/>
      <c r="I36" s="570"/>
      <c r="O36" s="570"/>
    </row>
    <row r="37" spans="1:19" ht="12.75" customHeight="1">
      <c r="A37" s="49"/>
      <c r="C37" s="495"/>
      <c r="D37" s="570"/>
      <c r="E37" s="570"/>
      <c r="F37" s="570"/>
      <c r="G37" s="570"/>
      <c r="H37" s="570"/>
      <c r="I37" s="570"/>
      <c r="O37" s="570"/>
      <c r="P37" s="561" t="s">
        <v>167</v>
      </c>
      <c r="Q37" s="928" t="s">
        <v>436</v>
      </c>
    </row>
    <row r="38" spans="1:19" ht="18">
      <c r="A38" s="49"/>
      <c r="B38" s="929" t="s">
        <v>311</v>
      </c>
      <c r="C38" s="35" t="str">
        <f>"Calculate Net Plant Carrying Charge Rate (Fixed Charge Rate or FCR) with hypothetical "&amp;F12&amp;" basis point"</f>
        <v>Calculate Net Plant Carrying Charge Rate (Fixed Charge Rate or FCR) with hypothetical 0 basis point</v>
      </c>
      <c r="D38" s="570"/>
      <c r="E38" s="570"/>
      <c r="F38" s="570"/>
      <c r="G38" s="570"/>
      <c r="H38" s="570"/>
      <c r="I38" s="570"/>
      <c r="O38" s="570"/>
    </row>
    <row r="39" spans="1:19" ht="18.75" customHeight="1">
      <c r="A39" s="49"/>
      <c r="B39" s="929"/>
      <c r="C39" s="35" t="str">
        <f>"ROE increase."</f>
        <v>ROE increase.</v>
      </c>
      <c r="D39" s="570"/>
      <c r="E39" s="570"/>
      <c r="F39" s="570"/>
      <c r="G39" s="570"/>
      <c r="H39" s="570"/>
      <c r="I39" s="570"/>
      <c r="O39" s="570"/>
    </row>
    <row r="40" spans="1:19" ht="12.75" customHeight="1">
      <c r="A40" s="49"/>
      <c r="C40" s="495"/>
      <c r="D40" s="570"/>
      <c r="E40" s="570"/>
      <c r="F40" s="570"/>
      <c r="G40" s="570"/>
      <c r="H40" s="570"/>
      <c r="I40" s="570"/>
      <c r="O40" s="570"/>
      <c r="P40" s="928" t="s">
        <v>168</v>
      </c>
      <c r="Q40" s="928" t="s">
        <v>436</v>
      </c>
    </row>
    <row r="41" spans="1:19" ht="15.5">
      <c r="A41" s="49"/>
      <c r="C41" s="931" t="s">
        <v>149</v>
      </c>
      <c r="D41" s="570"/>
      <c r="E41" s="570"/>
      <c r="F41" s="495"/>
      <c r="G41" s="495"/>
      <c r="H41" s="570"/>
      <c r="I41" s="570"/>
      <c r="O41" s="570"/>
      <c r="P41" s="928"/>
      <c r="Q41" s="561"/>
    </row>
    <row r="42" spans="1:19" ht="12.75" customHeight="1">
      <c r="A42" s="49">
        <f>+A36+1</f>
        <v>21</v>
      </c>
      <c r="C42" s="179" t="str">
        <f>"   Net Revenue Requirement  (TCOS, ln "&amp;'PSO TCOS'!B193&amp;")"</f>
        <v xml:space="preserve">   Net Revenue Requirement  (TCOS, ln 117)</v>
      </c>
      <c r="D42" s="933"/>
      <c r="E42" s="933"/>
      <c r="F42" s="963">
        <f>+'PSO TCOS'!L193</f>
        <v>134973025.19654</v>
      </c>
      <c r="G42" s="963"/>
      <c r="H42" s="933"/>
      <c r="I42" s="933"/>
      <c r="J42" s="933"/>
      <c r="K42" s="933"/>
      <c r="L42" s="933"/>
      <c r="M42" s="933"/>
      <c r="N42" s="963"/>
      <c r="O42" s="933"/>
      <c r="P42" s="1004" t="s">
        <v>164</v>
      </c>
      <c r="Q42" s="1005" t="s">
        <v>165</v>
      </c>
    </row>
    <row r="43" spans="1:19" ht="13.5" thickBot="1">
      <c r="A43" s="49">
        <f t="shared" si="0"/>
        <v>22</v>
      </c>
      <c r="C43" s="179" t="str">
        <f>"   Return  (TCOS, ln "&amp;'PSO TCOS'!B184&amp;")"</f>
        <v xml:space="preserve">   Return  (TCOS, ln 112)</v>
      </c>
      <c r="D43" s="933"/>
      <c r="E43" s="933"/>
      <c r="F43" s="967">
        <f>+'PSO TCOS'!L184</f>
        <v>51664533.768347368</v>
      </c>
      <c r="G43" s="967"/>
      <c r="H43" s="179"/>
      <c r="I43" s="179"/>
      <c r="J43" s="179"/>
      <c r="K43" s="179"/>
      <c r="L43" s="179"/>
      <c r="M43" s="179"/>
      <c r="N43" s="963"/>
      <c r="O43" s="179"/>
      <c r="P43" s="1006" t="s">
        <v>69</v>
      </c>
      <c r="Q43" s="123"/>
    </row>
    <row r="44" spans="1:19">
      <c r="A44" s="49">
        <f t="shared" si="0"/>
        <v>23</v>
      </c>
      <c r="C44" s="179" t="str">
        <f>"   Income Taxes  (TCOS, ln "&amp;'PSO TCOS'!B182&amp;")"</f>
        <v xml:space="preserve">   Income Taxes  (TCOS, ln 111)</v>
      </c>
      <c r="D44" s="933"/>
      <c r="E44" s="933"/>
      <c r="F44" s="963">
        <f>+'PSO TCOS'!L182</f>
        <v>10690821.179445541</v>
      </c>
      <c r="G44" s="963"/>
      <c r="H44" s="933"/>
      <c r="I44" s="933"/>
      <c r="J44" s="1007"/>
      <c r="K44" s="1007"/>
      <c r="L44" s="1007"/>
      <c r="M44" s="1007"/>
      <c r="N44" s="933"/>
      <c r="O44" s="1007"/>
      <c r="P44" s="1008"/>
      <c r="Q44" s="123" t="s">
        <v>161</v>
      </c>
    </row>
    <row r="45" spans="1:19">
      <c r="A45" s="49">
        <f t="shared" si="0"/>
        <v>24</v>
      </c>
      <c r="C45" s="179" t="str">
        <f>"  Gross Margin Taxes  (TCOS, ln "&amp;'PSO TCOS'!B191&amp;")"</f>
        <v xml:space="preserve">  Gross Margin Taxes  (TCOS, ln 116)</v>
      </c>
      <c r="D45" s="933"/>
      <c r="E45" s="933"/>
      <c r="F45" s="1009">
        <f>+'PSO TCOS'!L191</f>
        <v>0</v>
      </c>
      <c r="G45" s="963"/>
      <c r="H45" s="933"/>
      <c r="I45" s="933"/>
      <c r="J45" s="1007"/>
      <c r="K45" s="1007"/>
      <c r="L45" s="1007"/>
      <c r="M45" s="1007"/>
      <c r="N45" s="933"/>
      <c r="O45" s="1007"/>
      <c r="P45" s="1010"/>
      <c r="Q45" s="123" t="s">
        <v>162</v>
      </c>
    </row>
    <row r="46" spans="1:19" ht="13" thickBot="1">
      <c r="A46" s="49">
        <f t="shared" si="0"/>
        <v>25</v>
      </c>
      <c r="C46" s="12" t="s">
        <v>23</v>
      </c>
      <c r="D46" s="933"/>
      <c r="E46" s="933"/>
      <c r="F46" s="967">
        <f>F42-F43-F44-F45</f>
        <v>72617670.248747095</v>
      </c>
      <c r="G46" s="967"/>
      <c r="H46" s="965"/>
      <c r="I46" s="933"/>
      <c r="J46" s="965"/>
      <c r="K46" s="965"/>
      <c r="L46" s="965"/>
      <c r="M46" s="965"/>
      <c r="N46" s="965"/>
      <c r="O46" s="965"/>
      <c r="P46" s="1011"/>
      <c r="Q46" s="123" t="s">
        <v>163</v>
      </c>
    </row>
    <row r="47" spans="1:19">
      <c r="A47" s="49"/>
      <c r="C47" s="179"/>
      <c r="D47" s="933"/>
      <c r="E47" s="933"/>
      <c r="F47" s="963"/>
      <c r="G47" s="963"/>
      <c r="H47" s="934"/>
      <c r="I47" s="959"/>
      <c r="J47" s="959"/>
      <c r="K47" s="959"/>
      <c r="L47" s="959"/>
      <c r="M47" s="959"/>
      <c r="N47" s="959"/>
      <c r="O47" s="959"/>
    </row>
    <row r="48" spans="1:19" ht="15.5">
      <c r="A48" s="49"/>
      <c r="C48" s="931" t="str">
        <f>"B.   Determine Net Revenue Requirement with hypothetical "&amp;F12&amp;" basis point increase in ROE."</f>
        <v>B.   Determine Net Revenue Requirement with hypothetical 0 basis point increase in ROE.</v>
      </c>
      <c r="D48" s="937"/>
      <c r="E48" s="937"/>
      <c r="F48" s="963"/>
      <c r="G48" s="963"/>
      <c r="H48" s="934"/>
      <c r="I48" s="959"/>
      <c r="J48" s="959"/>
      <c r="K48" s="959"/>
      <c r="L48" s="959"/>
      <c r="M48" s="959"/>
      <c r="N48" s="959"/>
      <c r="O48" s="959"/>
    </row>
    <row r="49" spans="1:19" ht="13">
      <c r="A49" s="49">
        <f>+A46+1</f>
        <v>26</v>
      </c>
      <c r="C49" s="179" t="str">
        <f>C46</f>
        <v xml:space="preserve">   Net Revenue Requirement, Less Return and Taxes</v>
      </c>
      <c r="D49" s="937"/>
      <c r="E49" s="937"/>
      <c r="F49" s="963">
        <f>F46</f>
        <v>72617670.248747095</v>
      </c>
      <c r="G49" s="963"/>
      <c r="H49" s="933"/>
      <c r="I49" s="933"/>
      <c r="J49" s="933"/>
      <c r="K49" s="933"/>
      <c r="L49" s="933"/>
      <c r="M49" s="933"/>
      <c r="N49" s="1012"/>
      <c r="O49" s="933"/>
    </row>
    <row r="50" spans="1:19" ht="13">
      <c r="A50" s="49">
        <f t="shared" si="0"/>
        <v>27</v>
      </c>
      <c r="C50" s="937" t="s">
        <v>386</v>
      </c>
      <c r="F50" s="998">
        <f>E25</f>
        <v>51664533.768347368</v>
      </c>
      <c r="G50" s="998"/>
      <c r="I50" s="811"/>
    </row>
    <row r="51" spans="1:19" ht="12.75" customHeight="1">
      <c r="A51" s="49">
        <f t="shared" si="0"/>
        <v>28</v>
      </c>
      <c r="C51" s="179" t="s">
        <v>379</v>
      </c>
      <c r="D51" s="933"/>
      <c r="E51" s="933"/>
      <c r="F51" s="1013">
        <f>F36</f>
        <v>10690821.179445541</v>
      </c>
      <c r="G51" s="1014"/>
    </row>
    <row r="52" spans="1:19">
      <c r="A52" s="49">
        <f t="shared" si="0"/>
        <v>29</v>
      </c>
      <c r="C52" s="12" t="str">
        <f>"   Net Revenue Requirement, with "&amp;F12&amp;" Basis Point ROE increase"</f>
        <v xml:space="preserve">   Net Revenue Requirement, with 0 Basis Point ROE increase</v>
      </c>
      <c r="F52" s="998">
        <f>SUM(F49:F51)</f>
        <v>134973025.19654</v>
      </c>
      <c r="G52" s="998"/>
    </row>
    <row r="53" spans="1:19">
      <c r="A53" s="49">
        <f t="shared" si="0"/>
        <v>30</v>
      </c>
      <c r="C53" s="12" t="str">
        <f>"   Gross Margin Tax with "&amp;F86&amp;" Basis Point ROE Increase (II C. below)"</f>
        <v xml:space="preserve">   Gross Margin Tax with  Basis Point ROE Increase (II C. below)</v>
      </c>
      <c r="D53" s="12"/>
      <c r="F53" s="1015">
        <f>+F68</f>
        <v>0</v>
      </c>
      <c r="G53" s="998"/>
    </row>
    <row r="54" spans="1:19">
      <c r="A54" s="49">
        <f t="shared" si="0"/>
        <v>31</v>
      </c>
      <c r="C54" s="12" t="s">
        <v>24</v>
      </c>
      <c r="F54" s="998">
        <f>+F52+F53</f>
        <v>134973025.19654</v>
      </c>
      <c r="G54" s="998"/>
    </row>
    <row r="55" spans="1:19">
      <c r="A55" s="49">
        <f t="shared" si="0"/>
        <v>32</v>
      </c>
      <c r="C55" s="179" t="str">
        <f>"   Less: Depreciation  (TCOS, ln "&amp;'PSO TCOS'!B153&amp;")"</f>
        <v xml:space="preserve">   Less: Depreciation  (TCOS, ln 86)</v>
      </c>
      <c r="F55" s="1016">
        <f>+'PSO TCOS'!L153</f>
        <v>27491329.543581594</v>
      </c>
      <c r="G55" s="1016"/>
    </row>
    <row r="56" spans="1:19">
      <c r="A56" s="49">
        <f t="shared" si="0"/>
        <v>33</v>
      </c>
      <c r="C56" s="12" t="str">
        <f>"   Net Rev. Req, w/"&amp;F12&amp;" Basis Point ROE increase, less Depreciation"</f>
        <v xml:space="preserve">   Net Rev. Req, w/0 Basis Point ROE increase, less Depreciation</v>
      </c>
      <c r="F56" s="998">
        <f>F54-F55</f>
        <v>107481695.65295841</v>
      </c>
      <c r="G56" s="998"/>
    </row>
    <row r="57" spans="1:19">
      <c r="A57" s="49"/>
    </row>
    <row r="58" spans="1:19" ht="15.5">
      <c r="A58" s="49"/>
      <c r="C58" s="931" t="str">
        <f>"C.   Determine Gross Margin Tax with hypothetical "&amp;F12&amp;" basis point increase in ROE."</f>
        <v>C.   Determine Gross Margin Tax with hypothetical 0 basis point increase in ROE.</v>
      </c>
      <c r="D58" s="12"/>
      <c r="F58" s="998"/>
      <c r="G58" s="998"/>
    </row>
    <row r="59" spans="1:19">
      <c r="A59" s="49">
        <f>+A56+1</f>
        <v>34</v>
      </c>
      <c r="C59" s="12" t="str">
        <f>"   Net Revenue Requirement before Gross Margin Taxes, with "&amp;F12&amp;" "</f>
        <v xml:space="preserve">   Net Revenue Requirement before Gross Margin Taxes, with 0 </v>
      </c>
      <c r="D59" s="12"/>
      <c r="F59" s="998">
        <f>+F52</f>
        <v>134973025.19654</v>
      </c>
      <c r="G59" s="998"/>
    </row>
    <row r="60" spans="1:19">
      <c r="A60" s="49">
        <f t="shared" si="0"/>
        <v>35</v>
      </c>
      <c r="C60" s="12" t="s">
        <v>25</v>
      </c>
      <c r="D60" s="12"/>
      <c r="F60" s="998"/>
      <c r="G60" s="998"/>
    </row>
    <row r="61" spans="1:19">
      <c r="A61" s="49">
        <f t="shared" si="0"/>
        <v>36</v>
      </c>
      <c r="C61" s="12" t="str">
        <f>"       Apportionment Factor to Texas (Worksheet K, ln "&amp;'PSO WS K State Taxes'!A53&amp;")"</f>
        <v xml:space="preserve">       Apportionment Factor to Texas (Worksheet K, ln 12)</v>
      </c>
      <c r="F61" s="1017">
        <f>+'PSO WS K State Taxes'!E53</f>
        <v>0</v>
      </c>
      <c r="G61" s="945"/>
    </row>
    <row r="62" spans="1:19" s="771" customFormat="1">
      <c r="A62" s="49">
        <f t="shared" si="0"/>
        <v>37</v>
      </c>
      <c r="B62" s="12"/>
      <c r="C62" s="12" t="s">
        <v>26</v>
      </c>
      <c r="D62" s="49"/>
      <c r="E62" s="12"/>
      <c r="F62" s="998">
        <f>+F61*F59</f>
        <v>0</v>
      </c>
      <c r="G62" s="998"/>
      <c r="H62" s="12"/>
      <c r="J62" s="12"/>
      <c r="K62" s="12"/>
      <c r="L62" s="12"/>
      <c r="M62" s="12"/>
      <c r="N62" s="12"/>
      <c r="O62" s="12"/>
      <c r="P62" s="12"/>
      <c r="Q62" s="12"/>
      <c r="R62" s="12"/>
      <c r="S62" s="12"/>
    </row>
    <row r="63" spans="1:19" s="771" customFormat="1">
      <c r="A63" s="49">
        <f t="shared" si="0"/>
        <v>38</v>
      </c>
      <c r="B63" s="12"/>
      <c r="C63" s="12" t="s">
        <v>690</v>
      </c>
      <c r="D63" s="49"/>
      <c r="E63" s="12"/>
      <c r="F63" s="1018">
        <v>0.22</v>
      </c>
      <c r="G63" s="1019"/>
      <c r="H63" s="12"/>
      <c r="J63" s="12"/>
      <c r="K63" s="12"/>
      <c r="L63" s="12"/>
      <c r="M63" s="12"/>
      <c r="N63" s="12"/>
      <c r="O63" s="12"/>
      <c r="P63" s="12"/>
      <c r="Q63" s="12"/>
      <c r="R63" s="12"/>
      <c r="S63" s="12"/>
    </row>
    <row r="64" spans="1:19" s="771" customFormat="1">
      <c r="A64" s="49">
        <f t="shared" si="0"/>
        <v>39</v>
      </c>
      <c r="B64" s="12"/>
      <c r="C64" s="12" t="s">
        <v>27</v>
      </c>
      <c r="D64" s="49"/>
      <c r="E64" s="12"/>
      <c r="F64" s="998">
        <f>+F62*F63</f>
        <v>0</v>
      </c>
      <c r="G64" s="998"/>
      <c r="H64" s="12"/>
      <c r="J64" s="12"/>
      <c r="K64" s="12"/>
      <c r="L64" s="12"/>
      <c r="M64" s="12"/>
      <c r="N64" s="12"/>
      <c r="O64" s="12"/>
      <c r="P64" s="12"/>
      <c r="Q64" s="12"/>
      <c r="R64" s="12"/>
      <c r="S64" s="12"/>
    </row>
    <row r="65" spans="1:19" s="771" customFormat="1">
      <c r="A65" s="49">
        <f t="shared" si="0"/>
        <v>40</v>
      </c>
      <c r="B65" s="12"/>
      <c r="C65" s="12" t="s">
        <v>28</v>
      </c>
      <c r="D65" s="49"/>
      <c r="E65" s="12"/>
      <c r="F65" s="1018">
        <v>0.01</v>
      </c>
      <c r="G65" s="1019"/>
      <c r="H65" s="12"/>
      <c r="J65" s="12"/>
      <c r="K65" s="12"/>
      <c r="L65" s="12"/>
      <c r="M65" s="12"/>
      <c r="N65" s="12"/>
      <c r="O65" s="12"/>
      <c r="P65" s="12"/>
      <c r="Q65" s="12"/>
      <c r="R65" s="12"/>
      <c r="S65" s="12"/>
    </row>
    <row r="66" spans="1:19" s="771" customFormat="1">
      <c r="A66" s="49">
        <f t="shared" si="0"/>
        <v>41</v>
      </c>
      <c r="B66" s="12"/>
      <c r="C66" s="12" t="s">
        <v>29</v>
      </c>
      <c r="D66" s="49"/>
      <c r="E66" s="12"/>
      <c r="F66" s="998">
        <f>+F64*F65</f>
        <v>0</v>
      </c>
      <c r="G66" s="998"/>
      <c r="H66" s="12"/>
      <c r="J66" s="12"/>
      <c r="K66" s="12"/>
      <c r="L66" s="12"/>
      <c r="M66" s="12"/>
      <c r="N66" s="12"/>
      <c r="O66" s="12"/>
      <c r="P66" s="12"/>
      <c r="Q66" s="12"/>
      <c r="R66" s="12"/>
      <c r="S66" s="12"/>
    </row>
    <row r="67" spans="1:19" s="771" customFormat="1">
      <c r="A67" s="49">
        <f t="shared" si="0"/>
        <v>42</v>
      </c>
      <c r="B67" s="12"/>
      <c r="C67" s="12" t="s">
        <v>30</v>
      </c>
      <c r="D67" s="49"/>
      <c r="E67" s="12"/>
      <c r="F67" s="1020">
        <f>+ROUND((F66*F63*F61)/(1-F65)*F65,0)</f>
        <v>0</v>
      </c>
      <c r="G67" s="891"/>
      <c r="H67" s="12"/>
      <c r="J67" s="12"/>
      <c r="K67" s="12"/>
      <c r="L67" s="12"/>
      <c r="M67" s="12"/>
      <c r="N67" s="12"/>
      <c r="O67" s="12"/>
      <c r="P67" s="12"/>
      <c r="Q67" s="12"/>
      <c r="R67" s="12"/>
      <c r="S67" s="12"/>
    </row>
    <row r="68" spans="1:19" s="771" customFormat="1">
      <c r="A68" s="49">
        <f t="shared" si="0"/>
        <v>43</v>
      </c>
      <c r="B68" s="12"/>
      <c r="C68" s="12" t="s">
        <v>31</v>
      </c>
      <c r="D68" s="49"/>
      <c r="E68" s="12"/>
      <c r="F68" s="998">
        <f>+F66+F67</f>
        <v>0</v>
      </c>
      <c r="G68" s="998"/>
      <c r="H68" s="12"/>
      <c r="J68" s="12"/>
      <c r="K68" s="12"/>
      <c r="L68" s="12"/>
      <c r="M68" s="12"/>
      <c r="N68" s="12"/>
      <c r="O68" s="12"/>
      <c r="P68" s="12"/>
      <c r="Q68" s="12"/>
      <c r="R68" s="12"/>
      <c r="S68" s="12"/>
    </row>
    <row r="69" spans="1:19" s="771" customFormat="1">
      <c r="A69" s="49"/>
      <c r="B69" s="12"/>
      <c r="C69" s="12"/>
      <c r="D69" s="49"/>
      <c r="E69" s="12"/>
      <c r="F69" s="12"/>
      <c r="G69" s="12"/>
      <c r="H69" s="12"/>
      <c r="J69" s="12"/>
      <c r="K69" s="12"/>
      <c r="L69" s="12"/>
      <c r="M69" s="12"/>
      <c r="N69" s="12"/>
      <c r="O69" s="12"/>
      <c r="P69" s="12"/>
      <c r="Q69" s="12"/>
      <c r="R69" s="12"/>
      <c r="S69" s="12"/>
    </row>
    <row r="70" spans="1:19" s="771" customFormat="1" ht="15.5">
      <c r="A70" s="49"/>
      <c r="B70" s="12"/>
      <c r="C70" s="931" t="str">
        <f>"D.   Determine FCR with hypothetical "&amp;F12&amp;" basis point ROE increase."</f>
        <v>D.   Determine FCR with hypothetical 0 basis point ROE increase.</v>
      </c>
      <c r="D70" s="49"/>
      <c r="E70" s="12"/>
      <c r="F70" s="12"/>
      <c r="G70" s="12"/>
      <c r="H70" s="12"/>
      <c r="J70" s="12"/>
      <c r="K70" s="12"/>
      <c r="L70" s="12"/>
      <c r="M70" s="12"/>
      <c r="N70" s="12"/>
      <c r="O70" s="12"/>
      <c r="P70" s="12"/>
      <c r="Q70" s="12"/>
      <c r="R70" s="12"/>
      <c r="S70" s="12"/>
    </row>
    <row r="71" spans="1:19" s="771" customFormat="1">
      <c r="A71" s="49">
        <f>+A68+1</f>
        <v>44</v>
      </c>
      <c r="B71" s="12"/>
      <c r="C71" s="179" t="str">
        <f>"   Net Transmission Plant  (TCOS, ln "&amp;'PSO TCOS'!B79&amp;")"</f>
        <v xml:space="preserve">   Net Transmission Plant  (TCOS, ln 37)</v>
      </c>
      <c r="D71" s="49"/>
      <c r="E71" s="12"/>
      <c r="F71" s="998">
        <f>+'PSO TCOS'!L79</f>
        <v>800198988.26538479</v>
      </c>
      <c r="G71" s="998"/>
      <c r="H71" s="12"/>
      <c r="J71" s="12"/>
      <c r="K71" s="12"/>
      <c r="L71" s="12"/>
      <c r="M71" s="12"/>
      <c r="N71" s="12"/>
      <c r="O71" s="12"/>
      <c r="P71" s="12"/>
      <c r="Q71" s="12"/>
      <c r="R71" s="12"/>
      <c r="S71" s="12"/>
    </row>
    <row r="72" spans="1:19" s="771" customFormat="1" ht="14">
      <c r="A72" s="49">
        <f t="shared" si="0"/>
        <v>45</v>
      </c>
      <c r="B72" s="12"/>
      <c r="C72" s="12" t="str">
        <f>"   Net Revenue Requirement, with "&amp;F12&amp;" Basis Point ROE increase"</f>
        <v xml:space="preserve">   Net Revenue Requirement, with 0 Basis Point ROE increase</v>
      </c>
      <c r="D72" s="49"/>
      <c r="E72" s="12"/>
      <c r="F72" s="1021">
        <f>+F54</f>
        <v>134973025.19654</v>
      </c>
      <c r="G72" s="1021"/>
      <c r="H72" s="12"/>
      <c r="J72" s="12"/>
      <c r="K72" s="12"/>
      <c r="L72" s="12"/>
      <c r="M72" s="12"/>
      <c r="N72" s="12"/>
      <c r="O72" s="12"/>
      <c r="P72" s="12"/>
      <c r="Q72" s="12"/>
      <c r="R72" s="12"/>
      <c r="S72" s="12"/>
    </row>
    <row r="73" spans="1:19" s="771" customFormat="1">
      <c r="A73" s="49">
        <f t="shared" si="0"/>
        <v>46</v>
      </c>
      <c r="B73" s="12"/>
      <c r="C73" s="12" t="str">
        <f>"   FCR with "&amp;F12&amp;" Basis Point increase in ROE"</f>
        <v xml:space="preserve">   FCR with 0 Basis Point increase in ROE</v>
      </c>
      <c r="D73" s="49"/>
      <c r="E73" s="12"/>
      <c r="F73" s="945">
        <f>IF(F71=0,0,F72/F71)</f>
        <v>0.16867432623118539</v>
      </c>
      <c r="G73" s="945"/>
      <c r="H73" s="12"/>
      <c r="J73" s="12"/>
      <c r="K73" s="12"/>
      <c r="L73" s="12"/>
      <c r="M73" s="12"/>
      <c r="N73" s="12"/>
      <c r="O73" s="12"/>
      <c r="P73" s="12"/>
      <c r="Q73" s="12"/>
      <c r="R73" s="12"/>
      <c r="S73" s="12"/>
    </row>
    <row r="74" spans="1:19" s="771" customFormat="1">
      <c r="A74" s="49"/>
      <c r="B74" s="12"/>
      <c r="C74" s="12"/>
      <c r="D74" s="49"/>
      <c r="E74" s="12"/>
      <c r="F74" s="12"/>
      <c r="G74" s="12"/>
      <c r="H74" s="945"/>
      <c r="J74" s="12"/>
      <c r="K74" s="12"/>
      <c r="L74" s="12"/>
      <c r="M74" s="12"/>
      <c r="N74" s="12"/>
      <c r="O74" s="12"/>
      <c r="P74" s="12"/>
      <c r="Q74" s="12"/>
      <c r="R74" s="12"/>
      <c r="S74" s="12"/>
    </row>
    <row r="75" spans="1:19" s="771" customFormat="1">
      <c r="A75" s="49">
        <f>+A73+1</f>
        <v>47</v>
      </c>
      <c r="B75" s="12"/>
      <c r="C75" s="12" t="str">
        <f>"   Net Rev. Req, w / "&amp;F12&amp;" Basis Point ROE increase, less Dep."</f>
        <v xml:space="preserve">   Net Rev. Req, w / 0 Basis Point ROE increase, less Dep.</v>
      </c>
      <c r="D75" s="49"/>
      <c r="E75" s="12"/>
      <c r="F75" s="998">
        <f>+F56</f>
        <v>107481695.65295841</v>
      </c>
      <c r="G75" s="998"/>
      <c r="H75" s="12"/>
      <c r="J75" s="12"/>
      <c r="K75" s="12"/>
      <c r="L75" s="12"/>
      <c r="M75" s="12"/>
      <c r="N75" s="12"/>
      <c r="O75" s="12"/>
      <c r="P75" s="12"/>
      <c r="Q75" s="12"/>
      <c r="R75" s="12"/>
      <c r="S75" s="12"/>
    </row>
    <row r="76" spans="1:19" s="771" customFormat="1">
      <c r="A76" s="49">
        <f t="shared" ref="A76:A85" si="1">+A75+1</f>
        <v>48</v>
      </c>
      <c r="B76" s="12"/>
      <c r="C76" s="12" t="str">
        <f>"   FCR with "&amp;F12&amp;" Basis Point ROE increase, less Depreciation"</f>
        <v xml:space="preserve">   FCR with 0 Basis Point ROE increase, less Depreciation</v>
      </c>
      <c r="D76" s="49"/>
      <c r="E76" s="12"/>
      <c r="F76" s="945">
        <f>IF(F71=0,0,F75/F71)</f>
        <v>0.13431870975736884</v>
      </c>
      <c r="G76" s="945"/>
      <c r="H76" s="998"/>
      <c r="J76" s="12"/>
      <c r="K76" s="12"/>
      <c r="L76" s="12"/>
      <c r="M76" s="12"/>
      <c r="N76" s="12"/>
      <c r="O76" s="12"/>
      <c r="P76" s="12"/>
      <c r="Q76" s="12"/>
      <c r="R76" s="12"/>
      <c r="S76" s="12"/>
    </row>
    <row r="77" spans="1:19">
      <c r="A77" s="49">
        <f t="shared" si="1"/>
        <v>49</v>
      </c>
      <c r="C77" s="179" t="str">
        <f>"   FCR less Depreciation  (TCOS, ln "&amp;'PSO TCOS'!B30&amp;")"</f>
        <v xml:space="preserve">   FCR less Depreciation  (TCOS, ln 10)</v>
      </c>
      <c r="F77" s="1022">
        <f>+'PSO TCOS'!L30</f>
        <v>0.13431870975736884</v>
      </c>
      <c r="G77" s="1022"/>
      <c r="H77" s="1023"/>
    </row>
    <row r="78" spans="1:19">
      <c r="A78" s="49">
        <f t="shared" si="1"/>
        <v>50</v>
      </c>
      <c r="C78" s="12" t="str">
        <f>"   Incremental FCR with "&amp;F12&amp;" Basis Point ROE increase, less Depreciation"</f>
        <v xml:space="preserve">   Incremental FCR with 0 Basis Point ROE increase, less Depreciation</v>
      </c>
      <c r="F78" s="945">
        <f>F76-F77</f>
        <v>0</v>
      </c>
      <c r="G78" s="945"/>
    </row>
    <row r="79" spans="1:19">
      <c r="A79" s="49"/>
      <c r="F79" s="945"/>
      <c r="G79" s="945"/>
    </row>
    <row r="80" spans="1:19" ht="18">
      <c r="A80" s="49"/>
      <c r="B80" s="929" t="s">
        <v>312</v>
      </c>
      <c r="C80" s="35" t="s">
        <v>380</v>
      </c>
      <c r="F80" s="945"/>
      <c r="G80" s="945"/>
    </row>
    <row r="81" spans="1:16">
      <c r="A81" s="49">
        <f>+A78+1</f>
        <v>51</v>
      </c>
      <c r="C81" s="12" t="str">
        <f>"Transmission Plant Average Balance for "&amp;'PSO TCOS'!$N$2&amp;" (WS A-1 Ln "&amp;'PSO WS A-1 - Plant'!A24&amp;" Col "&amp;'PSO WS A-1 - Plant'!E9&amp;")"</f>
        <v>Transmission Plant Average Balance for 2024 (WS A-1 Ln 14 Col (d))</v>
      </c>
      <c r="F81" s="811">
        <f>+'PSO WS A-1 - Plant'!E24</f>
        <v>1264681127.2407694</v>
      </c>
      <c r="G81" s="811"/>
    </row>
    <row r="82" spans="1:16">
      <c r="A82" s="49">
        <f t="shared" si="1"/>
        <v>52</v>
      </c>
      <c r="C82" s="179" t="str">
        <f>"Annual Depreciation Expense  (TCOS, ln "&amp;'PSO TCOS'!B153&amp;")"</f>
        <v>Annual Depreciation Expense  (TCOS, ln 86)</v>
      </c>
      <c r="F82" s="811">
        <f>+'PSO TCOS'!G153</f>
        <v>34344533</v>
      </c>
      <c r="G82" s="811"/>
    </row>
    <row r="83" spans="1:16">
      <c r="A83" s="49">
        <f t="shared" si="1"/>
        <v>53</v>
      </c>
      <c r="C83" s="12" t="s">
        <v>381</v>
      </c>
      <c r="F83" s="945">
        <f>IF(F81=0,0,F82/F81)</f>
        <v>2.715667393165859E-2</v>
      </c>
      <c r="G83" s="945"/>
      <c r="I83" s="770"/>
    </row>
    <row r="84" spans="1:16">
      <c r="A84" s="49">
        <f t="shared" si="1"/>
        <v>54</v>
      </c>
      <c r="C84" s="12" t="s">
        <v>382</v>
      </c>
      <c r="F84" s="770">
        <f>IF(F83=0,0,1/F83)</f>
        <v>36.823360714812146</v>
      </c>
      <c r="G84" s="770"/>
    </row>
    <row r="85" spans="1:16">
      <c r="A85" s="49">
        <f t="shared" si="1"/>
        <v>55</v>
      </c>
      <c r="C85" s="12" t="s">
        <v>383</v>
      </c>
      <c r="F85" s="804">
        <f>ROUND(F84,0)</f>
        <v>37</v>
      </c>
      <c r="G85" s="804"/>
    </row>
    <row r="86" spans="1:16">
      <c r="F86" s="804"/>
      <c r="G86" s="804"/>
    </row>
    <row r="87" spans="1:16">
      <c r="F87" s="804"/>
      <c r="G87" s="804"/>
    </row>
    <row r="88" spans="1:16" ht="20">
      <c r="A88" s="1024" t="str">
        <f>"'Worksheet F --  "&amp;'PSO TCOS'!F8&amp;" --  Calculation of Projected ARR for SPP Base Plan Upgrade Projects"</f>
        <v>'Worksheet F --  PUBLIC SERVICE COMPANY OF OKLAHOMA --  Calculation of Projected ARR for SPP Base Plan Upgrade Projects</v>
      </c>
      <c r="F88" s="945"/>
      <c r="H88" s="1025"/>
      <c r="I88" s="12"/>
      <c r="K88" s="1026"/>
      <c r="L88" s="1026"/>
      <c r="M88" s="1026"/>
      <c r="N88" s="1026"/>
    </row>
    <row r="89" spans="1:16" ht="17.5">
      <c r="H89" s="1025"/>
      <c r="I89" s="12"/>
      <c r="N89" s="1027"/>
    </row>
    <row r="90" spans="1:16" ht="18">
      <c r="B90" s="929" t="s">
        <v>313</v>
      </c>
      <c r="C90" s="35" t="s">
        <v>445</v>
      </c>
      <c r="H90" s="1025"/>
      <c r="I90" s="1025"/>
      <c r="J90" s="1028"/>
      <c r="K90" s="1025"/>
      <c r="L90" s="1025"/>
      <c r="M90" s="1025"/>
      <c r="N90" s="1025"/>
      <c r="P90" s="1029"/>
    </row>
    <row r="91" spans="1:16" ht="16" thickBot="1">
      <c r="C91" s="495"/>
      <c r="H91" s="1025"/>
      <c r="I91" s="1025"/>
      <c r="J91" s="1028"/>
      <c r="K91" s="1025"/>
      <c r="L91" s="1025"/>
      <c r="M91" s="1025"/>
      <c r="N91" s="1025"/>
    </row>
    <row r="92" spans="1:16" ht="15.5">
      <c r="C92" s="1030" t="s">
        <v>446</v>
      </c>
      <c r="G92" s="1031"/>
      <c r="H92" s="1032"/>
      <c r="I92" s="12"/>
      <c r="K92" s="1033" t="s">
        <v>480</v>
      </c>
      <c r="L92" s="1034"/>
      <c r="M92" s="1035"/>
      <c r="N92" s="1036"/>
    </row>
    <row r="93" spans="1:16" ht="15.5">
      <c r="C93" s="931"/>
      <c r="H93" s="1037"/>
      <c r="I93" s="1037"/>
      <c r="J93" s="1038"/>
      <c r="K93" s="1039" t="s">
        <v>481</v>
      </c>
      <c r="L93" s="1040"/>
      <c r="N93" s="1041"/>
    </row>
    <row r="94" spans="1:16" ht="13.5" thickBot="1">
      <c r="C94" s="561" t="s">
        <v>447</v>
      </c>
      <c r="D94" s="1042"/>
      <c r="E94" s="1042"/>
      <c r="F94" s="1042"/>
      <c r="H94" s="1025"/>
      <c r="I94" s="1025"/>
      <c r="J94" s="1028"/>
      <c r="K94" s="1043" t="s">
        <v>448</v>
      </c>
      <c r="L94" s="1044"/>
      <c r="M94" s="1044"/>
      <c r="N94" s="1045">
        <f>+N93-N92</f>
        <v>0</v>
      </c>
    </row>
    <row r="95" spans="1:16" ht="13.5" thickBot="1">
      <c r="C95" s="561"/>
      <c r="D95" s="12"/>
      <c r="E95" s="930"/>
      <c r="F95" s="930"/>
      <c r="G95" s="930"/>
      <c r="H95" s="930"/>
      <c r="I95" s="930"/>
      <c r="J95" s="930"/>
      <c r="K95" s="930"/>
      <c r="L95" s="930"/>
      <c r="M95" s="930"/>
      <c r="N95" s="930"/>
      <c r="O95" s="930"/>
    </row>
    <row r="96" spans="1:16" ht="13.5" thickBot="1">
      <c r="C96" s="1046" t="s">
        <v>449</v>
      </c>
      <c r="D96" s="1047"/>
      <c r="E96" s="1048" t="s">
        <v>664</v>
      </c>
      <c r="F96" s="1049"/>
      <c r="G96" s="1049"/>
      <c r="H96" s="1049"/>
      <c r="I96" s="1050"/>
      <c r="J96" s="33"/>
    </row>
    <row r="97" spans="2:15" ht="13">
      <c r="C97" s="1051" t="s">
        <v>450</v>
      </c>
      <c r="D97" s="1052"/>
      <c r="E97" s="12" t="s">
        <v>51</v>
      </c>
      <c r="G97" s="49"/>
      <c r="H97" s="49"/>
      <c r="I97" s="1053">
        <f>+K19</f>
        <v>2024</v>
      </c>
      <c r="J97" s="33"/>
      <c r="K97" s="1028" t="s">
        <v>451</v>
      </c>
    </row>
    <row r="98" spans="2:15">
      <c r="C98" s="970" t="s">
        <v>452</v>
      </c>
      <c r="D98" s="1054"/>
      <c r="E98" s="970" t="s">
        <v>453</v>
      </c>
      <c r="F98" s="49"/>
      <c r="I98" s="1055">
        <f>+F12</f>
        <v>0</v>
      </c>
      <c r="J98" s="1056"/>
      <c r="K98" s="12" t="str">
        <f>"          INPUT PROJECTED ARR (WITH &amp; WITHOUT INCENTIVES) FROM EACH PRIOR YEAR"</f>
        <v xml:space="preserve">          INPUT PROJECTED ARR (WITH &amp; WITHOUT INCENTIVES) FROM EACH PRIOR YEAR</v>
      </c>
    </row>
    <row r="99" spans="2:15">
      <c r="C99" s="970" t="s">
        <v>454</v>
      </c>
      <c r="D99" s="1052">
        <v>0</v>
      </c>
      <c r="E99" s="970" t="s">
        <v>455</v>
      </c>
      <c r="F99" s="49"/>
      <c r="I99" s="1057">
        <f>+F77</f>
        <v>0.13431870975736884</v>
      </c>
      <c r="J99" s="945"/>
      <c r="K99" s="12" t="s">
        <v>456</v>
      </c>
    </row>
    <row r="100" spans="2:15">
      <c r="C100" s="970" t="s">
        <v>457</v>
      </c>
      <c r="D100" s="1052">
        <v>0</v>
      </c>
      <c r="E100" s="970" t="s">
        <v>458</v>
      </c>
      <c r="F100" s="49"/>
      <c r="I100" s="1057">
        <f>IF(G92="",I99,F76)</f>
        <v>0.13431870975736884</v>
      </c>
      <c r="J100" s="945"/>
      <c r="K100" s="1028" t="s">
        <v>459</v>
      </c>
      <c r="L100" s="945"/>
      <c r="M100" s="945"/>
      <c r="N100" s="945"/>
    </row>
    <row r="101" spans="2:15" ht="13" thickBot="1">
      <c r="C101" s="970" t="s">
        <v>460</v>
      </c>
      <c r="D101" s="1054"/>
      <c r="E101" s="12" t="s">
        <v>461</v>
      </c>
      <c r="F101" s="49"/>
      <c r="I101" s="1058">
        <f>IF(D97=0,0,D97/D100)</f>
        <v>0</v>
      </c>
      <c r="J101" s="1028"/>
      <c r="K101" s="1028"/>
      <c r="L101" s="1028"/>
      <c r="M101" s="1028"/>
      <c r="N101" s="1028"/>
    </row>
    <row r="102" spans="2:15" ht="66" customHeight="1">
      <c r="C102" s="1059" t="s">
        <v>384</v>
      </c>
      <c r="D102" s="1060" t="s">
        <v>462</v>
      </c>
      <c r="E102" s="1060" t="s">
        <v>463</v>
      </c>
      <c r="F102" s="1060" t="s">
        <v>464</v>
      </c>
      <c r="G102" s="1061" t="s">
        <v>465</v>
      </c>
      <c r="H102" s="1062" t="s">
        <v>466</v>
      </c>
      <c r="I102" s="1059" t="s">
        <v>467</v>
      </c>
      <c r="J102" s="1063"/>
      <c r="K102" s="1064" t="s">
        <v>468</v>
      </c>
      <c r="L102" s="1065" t="s">
        <v>469</v>
      </c>
      <c r="M102" s="1064" t="s">
        <v>468</v>
      </c>
      <c r="N102" s="1065" t="s">
        <v>469</v>
      </c>
      <c r="O102" s="1066" t="s">
        <v>470</v>
      </c>
    </row>
    <row r="103" spans="2:15" ht="15" customHeight="1" thickBot="1">
      <c r="C103" s="1067" t="s">
        <v>471</v>
      </c>
      <c r="D103" s="1068" t="s">
        <v>316</v>
      </c>
      <c r="E103" s="1068" t="s">
        <v>215</v>
      </c>
      <c r="F103" s="1068" t="s">
        <v>316</v>
      </c>
      <c r="G103" s="1069" t="s">
        <v>472</v>
      </c>
      <c r="H103" s="1070" t="s">
        <v>473</v>
      </c>
      <c r="I103" s="1068" t="s">
        <v>657</v>
      </c>
      <c r="J103" s="1063" t="s">
        <v>474</v>
      </c>
      <c r="K103" s="1071" t="s">
        <v>475</v>
      </c>
      <c r="L103" s="1072" t="s">
        <v>475</v>
      </c>
      <c r="M103" s="1071" t="s">
        <v>658</v>
      </c>
      <c r="N103" s="1073" t="s">
        <v>658</v>
      </c>
      <c r="O103" s="1071" t="s">
        <v>658</v>
      </c>
    </row>
    <row r="104" spans="2:15">
      <c r="B104" s="49"/>
      <c r="C104" s="1074" t="str">
        <f>IF(D98= "","-",D98)</f>
        <v>-</v>
      </c>
      <c r="D104" s="804">
        <f>D97</f>
        <v>0</v>
      </c>
      <c r="E104" s="1075">
        <f>I101/12*(12-D99)</f>
        <v>0</v>
      </c>
      <c r="F104" s="804">
        <f t="shared" ref="F104:F159" si="2">+D104-E104</f>
        <v>0</v>
      </c>
      <c r="G104" s="1075">
        <f>+I99*F104+E104</f>
        <v>0</v>
      </c>
      <c r="H104" s="1058">
        <f>+I100*F104+E104</f>
        <v>0</v>
      </c>
      <c r="I104" s="1076">
        <f t="shared" ref="I104:I159" si="3">H104-G104</f>
        <v>0</v>
      </c>
      <c r="J104" s="1076"/>
      <c r="K104" s="1077"/>
      <c r="L104" s="1077">
        <f t="shared" ref="L104:L159" si="4">IF(K104&lt;&gt;0,+G104-K104,0)</f>
        <v>0</v>
      </c>
      <c r="M104" s="1077"/>
      <c r="N104" s="1077">
        <f t="shared" ref="N104:N159" si="5">IF(M104&lt;&gt;0,+H104-M104,0)</f>
        <v>0</v>
      </c>
      <c r="O104" s="1078">
        <f t="shared" ref="O104:O159" si="6">+N104-L104</f>
        <v>0</v>
      </c>
    </row>
    <row r="105" spans="2:15">
      <c r="B105" s="49" t="str">
        <f>IF(D105=F104,"","IU")</f>
        <v/>
      </c>
      <c r="C105" s="1074" t="str">
        <f>IF(D98="","-",+C104+1)</f>
        <v>-</v>
      </c>
      <c r="D105" s="1079">
        <f t="shared" ref="D105:D159" si="7">F104</f>
        <v>0</v>
      </c>
      <c r="E105" s="1080">
        <f>IF(+I101&lt;F104,I101,D105)</f>
        <v>0</v>
      </c>
      <c r="F105" s="1079">
        <f t="shared" si="2"/>
        <v>0</v>
      </c>
      <c r="G105" s="1080">
        <f>+I$11*F105+E105</f>
        <v>0</v>
      </c>
      <c r="H105" s="1058">
        <f>+I$12*F105+E105</f>
        <v>0</v>
      </c>
      <c r="I105" s="1076">
        <f t="shared" si="3"/>
        <v>0</v>
      </c>
      <c r="J105" s="1076"/>
      <c r="K105" s="1081"/>
      <c r="L105" s="1078">
        <f t="shared" si="4"/>
        <v>0</v>
      </c>
      <c r="M105" s="1081"/>
      <c r="N105" s="1078">
        <f t="shared" si="5"/>
        <v>0</v>
      </c>
      <c r="O105" s="1078">
        <f t="shared" si="6"/>
        <v>0</v>
      </c>
    </row>
    <row r="106" spans="2:15">
      <c r="B106" s="49" t="str">
        <f>IF(D106=F105,"","IU")</f>
        <v/>
      </c>
      <c r="C106" s="1074" t="str">
        <f>IF(D98="","-",+C105+1)</f>
        <v>-</v>
      </c>
      <c r="D106" s="1079">
        <f t="shared" si="7"/>
        <v>0</v>
      </c>
      <c r="E106" s="1080">
        <f>IF(+I101&lt;F105,I101,D106)</f>
        <v>0</v>
      </c>
      <c r="F106" s="1079">
        <f t="shared" si="2"/>
        <v>0</v>
      </c>
      <c r="G106" s="1080">
        <f t="shared" ref="G106:G159" si="8">+I$11*F106+E106</f>
        <v>0</v>
      </c>
      <c r="H106" s="1058">
        <f t="shared" ref="H106:H159" si="9">+I$12*F106+E106</f>
        <v>0</v>
      </c>
      <c r="I106" s="1076">
        <f t="shared" si="3"/>
        <v>0</v>
      </c>
      <c r="J106" s="1076"/>
      <c r="K106" s="1081"/>
      <c r="L106" s="1078">
        <f t="shared" si="4"/>
        <v>0</v>
      </c>
      <c r="M106" s="1081"/>
      <c r="N106" s="1078">
        <f t="shared" si="5"/>
        <v>0</v>
      </c>
      <c r="O106" s="1078">
        <f t="shared" si="6"/>
        <v>0</v>
      </c>
    </row>
    <row r="107" spans="2:15">
      <c r="B107" s="49" t="str">
        <f t="shared" ref="B107:B159" si="10">IF(D107=F106,"","IU")</f>
        <v/>
      </c>
      <c r="C107" s="1074" t="str">
        <f>IF(D98="","-",+C106+1)</f>
        <v>-</v>
      </c>
      <c r="D107" s="1079">
        <f t="shared" si="7"/>
        <v>0</v>
      </c>
      <c r="E107" s="1080">
        <f>IF(+I101&lt;F106,I101,D107)</f>
        <v>0</v>
      </c>
      <c r="F107" s="1079">
        <f t="shared" si="2"/>
        <v>0</v>
      </c>
      <c r="G107" s="1080">
        <f t="shared" si="8"/>
        <v>0</v>
      </c>
      <c r="H107" s="1058">
        <f t="shared" si="9"/>
        <v>0</v>
      </c>
      <c r="I107" s="1076">
        <f t="shared" si="3"/>
        <v>0</v>
      </c>
      <c r="J107" s="1076"/>
      <c r="K107" s="1081"/>
      <c r="L107" s="1078">
        <f t="shared" si="4"/>
        <v>0</v>
      </c>
      <c r="M107" s="1081"/>
      <c r="N107" s="1078">
        <f t="shared" si="5"/>
        <v>0</v>
      </c>
      <c r="O107" s="1078">
        <f t="shared" si="6"/>
        <v>0</v>
      </c>
    </row>
    <row r="108" spans="2:15">
      <c r="B108" s="49" t="str">
        <f t="shared" si="10"/>
        <v/>
      </c>
      <c r="C108" s="1074" t="str">
        <f>IF(D98="","-",+C107+1)</f>
        <v>-</v>
      </c>
      <c r="D108" s="1079">
        <f t="shared" si="7"/>
        <v>0</v>
      </c>
      <c r="E108" s="1080">
        <f>IF(+I101&lt;F107,I101,D108)</f>
        <v>0</v>
      </c>
      <c r="F108" s="1079">
        <f t="shared" si="2"/>
        <v>0</v>
      </c>
      <c r="G108" s="1080">
        <f t="shared" si="8"/>
        <v>0</v>
      </c>
      <c r="H108" s="1058">
        <f t="shared" si="9"/>
        <v>0</v>
      </c>
      <c r="I108" s="1076">
        <f t="shared" si="3"/>
        <v>0</v>
      </c>
      <c r="J108" s="1076"/>
      <c r="K108" s="1081"/>
      <c r="L108" s="1078">
        <f t="shared" si="4"/>
        <v>0</v>
      </c>
      <c r="M108" s="1081"/>
      <c r="N108" s="1078">
        <f t="shared" si="5"/>
        <v>0</v>
      </c>
      <c r="O108" s="1078">
        <f t="shared" si="6"/>
        <v>0</v>
      </c>
    </row>
    <row r="109" spans="2:15">
      <c r="B109" s="49" t="str">
        <f t="shared" si="10"/>
        <v/>
      </c>
      <c r="C109" s="1074" t="str">
        <f>IF(D98="","-",+C108+1)</f>
        <v>-</v>
      </c>
      <c r="D109" s="1079">
        <f t="shared" si="7"/>
        <v>0</v>
      </c>
      <c r="E109" s="1080">
        <f>IF(+I101&lt;F108,I101,D109)</f>
        <v>0</v>
      </c>
      <c r="F109" s="1079">
        <f t="shared" si="2"/>
        <v>0</v>
      </c>
      <c r="G109" s="1080">
        <f t="shared" si="8"/>
        <v>0</v>
      </c>
      <c r="H109" s="1058">
        <f t="shared" si="9"/>
        <v>0</v>
      </c>
      <c r="I109" s="1076">
        <f t="shared" si="3"/>
        <v>0</v>
      </c>
      <c r="J109" s="1076"/>
      <c r="K109" s="1081"/>
      <c r="L109" s="1078">
        <f t="shared" si="4"/>
        <v>0</v>
      </c>
      <c r="M109" s="1081"/>
      <c r="N109" s="1078">
        <f t="shared" si="5"/>
        <v>0</v>
      </c>
      <c r="O109" s="1078">
        <f t="shared" si="6"/>
        <v>0</v>
      </c>
    </row>
    <row r="110" spans="2:15">
      <c r="B110" s="49" t="str">
        <f t="shared" si="10"/>
        <v/>
      </c>
      <c r="C110" s="1074" t="str">
        <f>IF(D98="","-",+C109+1)</f>
        <v>-</v>
      </c>
      <c r="D110" s="1079">
        <f t="shared" si="7"/>
        <v>0</v>
      </c>
      <c r="E110" s="1080">
        <f>IF(+I101&lt;F109,I101,D110)</f>
        <v>0</v>
      </c>
      <c r="F110" s="1079">
        <f t="shared" si="2"/>
        <v>0</v>
      </c>
      <c r="G110" s="1080">
        <f t="shared" si="8"/>
        <v>0</v>
      </c>
      <c r="H110" s="1058">
        <f t="shared" si="9"/>
        <v>0</v>
      </c>
      <c r="I110" s="1076">
        <f t="shared" si="3"/>
        <v>0</v>
      </c>
      <c r="J110" s="1076"/>
      <c r="K110" s="1081"/>
      <c r="L110" s="1078">
        <f t="shared" si="4"/>
        <v>0</v>
      </c>
      <c r="M110" s="1081"/>
      <c r="N110" s="1078">
        <f t="shared" si="5"/>
        <v>0</v>
      </c>
      <c r="O110" s="1078">
        <f t="shared" si="6"/>
        <v>0</v>
      </c>
    </row>
    <row r="111" spans="2:15">
      <c r="B111" s="49" t="str">
        <f t="shared" si="10"/>
        <v/>
      </c>
      <c r="C111" s="1074" t="str">
        <f>IF(D98="","-",+C110+1)</f>
        <v>-</v>
      </c>
      <c r="D111" s="1079">
        <f t="shared" si="7"/>
        <v>0</v>
      </c>
      <c r="E111" s="1080">
        <f>IF(+I101&lt;F110,I101,D111)</f>
        <v>0</v>
      </c>
      <c r="F111" s="1079">
        <f t="shared" si="2"/>
        <v>0</v>
      </c>
      <c r="G111" s="1080">
        <f t="shared" si="8"/>
        <v>0</v>
      </c>
      <c r="H111" s="1058">
        <f t="shared" si="9"/>
        <v>0</v>
      </c>
      <c r="I111" s="1076">
        <f t="shared" si="3"/>
        <v>0</v>
      </c>
      <c r="J111" s="1076"/>
      <c r="K111" s="1081"/>
      <c r="L111" s="1078">
        <f t="shared" si="4"/>
        <v>0</v>
      </c>
      <c r="M111" s="1081"/>
      <c r="N111" s="1078">
        <f t="shared" si="5"/>
        <v>0</v>
      </c>
      <c r="O111" s="1078">
        <f t="shared" si="6"/>
        <v>0</v>
      </c>
    </row>
    <row r="112" spans="2:15">
      <c r="B112" s="49" t="str">
        <f t="shared" si="10"/>
        <v/>
      </c>
      <c r="C112" s="1074" t="str">
        <f>IF(D98="","-",+C111+1)</f>
        <v>-</v>
      </c>
      <c r="D112" s="1079">
        <f t="shared" si="7"/>
        <v>0</v>
      </c>
      <c r="E112" s="1080">
        <f>IF(+I101&lt;F111,I101,D112)</f>
        <v>0</v>
      </c>
      <c r="F112" s="1079">
        <f t="shared" si="2"/>
        <v>0</v>
      </c>
      <c r="G112" s="1080">
        <f t="shared" si="8"/>
        <v>0</v>
      </c>
      <c r="H112" s="1058">
        <f t="shared" si="9"/>
        <v>0</v>
      </c>
      <c r="I112" s="1076">
        <f t="shared" si="3"/>
        <v>0</v>
      </c>
      <c r="J112" s="1076"/>
      <c r="K112" s="1081"/>
      <c r="L112" s="1078">
        <f t="shared" si="4"/>
        <v>0</v>
      </c>
      <c r="M112" s="1081"/>
      <c r="N112" s="1078">
        <f t="shared" si="5"/>
        <v>0</v>
      </c>
      <c r="O112" s="1078">
        <f t="shared" si="6"/>
        <v>0</v>
      </c>
    </row>
    <row r="113" spans="2:15">
      <c r="B113" s="49" t="str">
        <f t="shared" si="10"/>
        <v/>
      </c>
      <c r="C113" s="1074" t="str">
        <f>IF(D98="","-",+C112+1)</f>
        <v>-</v>
      </c>
      <c r="D113" s="1079">
        <f t="shared" si="7"/>
        <v>0</v>
      </c>
      <c r="E113" s="1080">
        <f>IF(+I101&lt;F112,I101,D113)</f>
        <v>0</v>
      </c>
      <c r="F113" s="1079">
        <f t="shared" si="2"/>
        <v>0</v>
      </c>
      <c r="G113" s="1080">
        <f t="shared" si="8"/>
        <v>0</v>
      </c>
      <c r="H113" s="1058">
        <f t="shared" si="9"/>
        <v>0</v>
      </c>
      <c r="I113" s="1076">
        <f t="shared" si="3"/>
        <v>0</v>
      </c>
      <c r="J113" s="1076"/>
      <c r="K113" s="1081"/>
      <c r="L113" s="1078">
        <f t="shared" si="4"/>
        <v>0</v>
      </c>
      <c r="M113" s="1081"/>
      <c r="N113" s="1078">
        <f t="shared" si="5"/>
        <v>0</v>
      </c>
      <c r="O113" s="1078">
        <f t="shared" si="6"/>
        <v>0</v>
      </c>
    </row>
    <row r="114" spans="2:15">
      <c r="B114" s="49" t="str">
        <f t="shared" si="10"/>
        <v/>
      </c>
      <c r="C114" s="1074" t="str">
        <f>IF(D98="","-",+C113+1)</f>
        <v>-</v>
      </c>
      <c r="D114" s="1079">
        <f t="shared" si="7"/>
        <v>0</v>
      </c>
      <c r="E114" s="1080">
        <f>IF(+I101&lt;F113,I101,D114)</f>
        <v>0</v>
      </c>
      <c r="F114" s="1079">
        <f t="shared" si="2"/>
        <v>0</v>
      </c>
      <c r="G114" s="1080">
        <f t="shared" si="8"/>
        <v>0</v>
      </c>
      <c r="H114" s="1058">
        <f t="shared" si="9"/>
        <v>0</v>
      </c>
      <c r="I114" s="1076">
        <f t="shared" si="3"/>
        <v>0</v>
      </c>
      <c r="J114" s="1076"/>
      <c r="K114" s="1081"/>
      <c r="L114" s="1078">
        <f t="shared" si="4"/>
        <v>0</v>
      </c>
      <c r="M114" s="1081"/>
      <c r="N114" s="1078">
        <f t="shared" si="5"/>
        <v>0</v>
      </c>
      <c r="O114" s="1078">
        <f t="shared" si="6"/>
        <v>0</v>
      </c>
    </row>
    <row r="115" spans="2:15">
      <c r="B115" s="49" t="str">
        <f t="shared" si="10"/>
        <v/>
      </c>
      <c r="C115" s="1074" t="str">
        <f>IF(D98="","-",+C114+1)</f>
        <v>-</v>
      </c>
      <c r="D115" s="1079">
        <f t="shared" si="7"/>
        <v>0</v>
      </c>
      <c r="E115" s="1080">
        <f>IF(+I101&lt;F114,I101,D115)</f>
        <v>0</v>
      </c>
      <c r="F115" s="1079">
        <f t="shared" si="2"/>
        <v>0</v>
      </c>
      <c r="G115" s="1080">
        <f t="shared" si="8"/>
        <v>0</v>
      </c>
      <c r="H115" s="1058">
        <f t="shared" si="9"/>
        <v>0</v>
      </c>
      <c r="I115" s="1076">
        <f t="shared" si="3"/>
        <v>0</v>
      </c>
      <c r="J115" s="1076"/>
      <c r="K115" s="1081"/>
      <c r="L115" s="1078">
        <f t="shared" si="4"/>
        <v>0</v>
      </c>
      <c r="M115" s="1081"/>
      <c r="N115" s="1078">
        <f t="shared" si="5"/>
        <v>0</v>
      </c>
      <c r="O115" s="1078">
        <f t="shared" si="6"/>
        <v>0</v>
      </c>
    </row>
    <row r="116" spans="2:15">
      <c r="B116" s="49" t="str">
        <f t="shared" si="10"/>
        <v/>
      </c>
      <c r="C116" s="1074" t="str">
        <f>IF(D98="","-",+C115+1)</f>
        <v>-</v>
      </c>
      <c r="D116" s="1079">
        <f t="shared" si="7"/>
        <v>0</v>
      </c>
      <c r="E116" s="1080">
        <f>IF(+I101&lt;F115,I101,D116)</f>
        <v>0</v>
      </c>
      <c r="F116" s="1079">
        <f t="shared" si="2"/>
        <v>0</v>
      </c>
      <c r="G116" s="1080">
        <f t="shared" si="8"/>
        <v>0</v>
      </c>
      <c r="H116" s="1058">
        <f t="shared" si="9"/>
        <v>0</v>
      </c>
      <c r="I116" s="1076">
        <f t="shared" si="3"/>
        <v>0</v>
      </c>
      <c r="J116" s="1076"/>
      <c r="K116" s="1081"/>
      <c r="L116" s="1078">
        <f t="shared" si="4"/>
        <v>0</v>
      </c>
      <c r="M116" s="1081"/>
      <c r="N116" s="1078">
        <f t="shared" si="5"/>
        <v>0</v>
      </c>
      <c r="O116" s="1078">
        <f t="shared" si="6"/>
        <v>0</v>
      </c>
    </row>
    <row r="117" spans="2:15">
      <c r="B117" s="49" t="str">
        <f t="shared" si="10"/>
        <v/>
      </c>
      <c r="C117" s="1074" t="str">
        <f>IF(D98="","-",+C116+1)</f>
        <v>-</v>
      </c>
      <c r="D117" s="1079">
        <f t="shared" si="7"/>
        <v>0</v>
      </c>
      <c r="E117" s="1080">
        <f>IF(+I101&lt;F116,I101,D117)</f>
        <v>0</v>
      </c>
      <c r="F117" s="1079">
        <f t="shared" si="2"/>
        <v>0</v>
      </c>
      <c r="G117" s="1080">
        <f t="shared" si="8"/>
        <v>0</v>
      </c>
      <c r="H117" s="1058">
        <f t="shared" si="9"/>
        <v>0</v>
      </c>
      <c r="I117" s="1076">
        <f t="shared" si="3"/>
        <v>0</v>
      </c>
      <c r="J117" s="1076"/>
      <c r="K117" s="1081"/>
      <c r="L117" s="1078">
        <f t="shared" si="4"/>
        <v>0</v>
      </c>
      <c r="M117" s="1081"/>
      <c r="N117" s="1078">
        <f t="shared" si="5"/>
        <v>0</v>
      </c>
      <c r="O117" s="1078">
        <f t="shared" si="6"/>
        <v>0</v>
      </c>
    </row>
    <row r="118" spans="2:15">
      <c r="B118" s="49" t="str">
        <f t="shared" si="10"/>
        <v/>
      </c>
      <c r="C118" s="1074" t="str">
        <f>IF(D98="","-",+C117+1)</f>
        <v>-</v>
      </c>
      <c r="D118" s="1079">
        <f t="shared" si="7"/>
        <v>0</v>
      </c>
      <c r="E118" s="1080">
        <f>IF(+I101&lt;F117,I101,D118)</f>
        <v>0</v>
      </c>
      <c r="F118" s="1079">
        <f t="shared" si="2"/>
        <v>0</v>
      </c>
      <c r="G118" s="1080">
        <f t="shared" si="8"/>
        <v>0</v>
      </c>
      <c r="H118" s="1058">
        <f t="shared" si="9"/>
        <v>0</v>
      </c>
      <c r="I118" s="1076">
        <f t="shared" si="3"/>
        <v>0</v>
      </c>
      <c r="J118" s="1076"/>
      <c r="K118" s="1081"/>
      <c r="L118" s="1078">
        <f t="shared" si="4"/>
        <v>0</v>
      </c>
      <c r="M118" s="1081"/>
      <c r="N118" s="1078">
        <f t="shared" si="5"/>
        <v>0</v>
      </c>
      <c r="O118" s="1078">
        <f t="shared" si="6"/>
        <v>0</v>
      </c>
    </row>
    <row r="119" spans="2:15">
      <c r="B119" s="49" t="str">
        <f t="shared" si="10"/>
        <v/>
      </c>
      <c r="C119" s="1074" t="str">
        <f>IF(D98="","-",+C118+1)</f>
        <v>-</v>
      </c>
      <c r="D119" s="1079">
        <f t="shared" si="7"/>
        <v>0</v>
      </c>
      <c r="E119" s="1080">
        <f>IF(+I101&lt;F118,I101,D119)</f>
        <v>0</v>
      </c>
      <c r="F119" s="1079">
        <f t="shared" si="2"/>
        <v>0</v>
      </c>
      <c r="G119" s="1080">
        <f t="shared" si="8"/>
        <v>0</v>
      </c>
      <c r="H119" s="1058">
        <f t="shared" si="9"/>
        <v>0</v>
      </c>
      <c r="I119" s="1076">
        <f t="shared" si="3"/>
        <v>0</v>
      </c>
      <c r="J119" s="1076"/>
      <c r="K119" s="1081"/>
      <c r="L119" s="1078">
        <f t="shared" si="4"/>
        <v>0</v>
      </c>
      <c r="M119" s="1081"/>
      <c r="N119" s="1078">
        <f t="shared" si="5"/>
        <v>0</v>
      </c>
      <c r="O119" s="1078">
        <f t="shared" si="6"/>
        <v>0</v>
      </c>
    </row>
    <row r="120" spans="2:15">
      <c r="B120" s="49" t="str">
        <f t="shared" si="10"/>
        <v/>
      </c>
      <c r="C120" s="1074" t="str">
        <f>IF(D98="","-",+C119+1)</f>
        <v>-</v>
      </c>
      <c r="D120" s="1079">
        <f t="shared" si="7"/>
        <v>0</v>
      </c>
      <c r="E120" s="1080">
        <f>IF(+I101&lt;F119,I101,D120)</f>
        <v>0</v>
      </c>
      <c r="F120" s="1079">
        <f t="shared" si="2"/>
        <v>0</v>
      </c>
      <c r="G120" s="1080">
        <f t="shared" si="8"/>
        <v>0</v>
      </c>
      <c r="H120" s="1058">
        <f t="shared" si="9"/>
        <v>0</v>
      </c>
      <c r="I120" s="1076">
        <f t="shared" si="3"/>
        <v>0</v>
      </c>
      <c r="J120" s="1076"/>
      <c r="K120" s="1081"/>
      <c r="L120" s="1078">
        <f t="shared" si="4"/>
        <v>0</v>
      </c>
      <c r="M120" s="1081"/>
      <c r="N120" s="1078">
        <f t="shared" si="5"/>
        <v>0</v>
      </c>
      <c r="O120" s="1078">
        <f t="shared" si="6"/>
        <v>0</v>
      </c>
    </row>
    <row r="121" spans="2:15">
      <c r="B121" s="49" t="str">
        <f t="shared" si="10"/>
        <v/>
      </c>
      <c r="C121" s="1074" t="str">
        <f>IF(D98="","-",+C120+1)</f>
        <v>-</v>
      </c>
      <c r="D121" s="1079">
        <f t="shared" si="7"/>
        <v>0</v>
      </c>
      <c r="E121" s="1080">
        <f>IF(+I101&lt;F120,I101,D121)</f>
        <v>0</v>
      </c>
      <c r="F121" s="1079">
        <f t="shared" si="2"/>
        <v>0</v>
      </c>
      <c r="G121" s="1080">
        <f t="shared" si="8"/>
        <v>0</v>
      </c>
      <c r="H121" s="1058">
        <f t="shared" si="9"/>
        <v>0</v>
      </c>
      <c r="I121" s="1076">
        <f t="shared" si="3"/>
        <v>0</v>
      </c>
      <c r="J121" s="1076"/>
      <c r="K121" s="1081"/>
      <c r="L121" s="1078">
        <f t="shared" si="4"/>
        <v>0</v>
      </c>
      <c r="M121" s="1081"/>
      <c r="N121" s="1078">
        <f t="shared" si="5"/>
        <v>0</v>
      </c>
      <c r="O121" s="1078">
        <f t="shared" si="6"/>
        <v>0</v>
      </c>
    </row>
    <row r="122" spans="2:15">
      <c r="B122" s="49" t="str">
        <f t="shared" si="10"/>
        <v/>
      </c>
      <c r="C122" s="1074" t="str">
        <f>IF(D98="","-",+C121+1)</f>
        <v>-</v>
      </c>
      <c r="D122" s="1079">
        <f t="shared" si="7"/>
        <v>0</v>
      </c>
      <c r="E122" s="1080">
        <f>IF(+I101&lt;F121,I101,D122)</f>
        <v>0</v>
      </c>
      <c r="F122" s="1079">
        <f t="shared" si="2"/>
        <v>0</v>
      </c>
      <c r="G122" s="1080">
        <f t="shared" si="8"/>
        <v>0</v>
      </c>
      <c r="H122" s="1058">
        <f t="shared" si="9"/>
        <v>0</v>
      </c>
      <c r="I122" s="1076">
        <f t="shared" si="3"/>
        <v>0</v>
      </c>
      <c r="J122" s="1076"/>
      <c r="K122" s="1081"/>
      <c r="L122" s="1078">
        <f t="shared" si="4"/>
        <v>0</v>
      </c>
      <c r="M122" s="1081"/>
      <c r="N122" s="1078">
        <f t="shared" si="5"/>
        <v>0</v>
      </c>
      <c r="O122" s="1078">
        <f t="shared" si="6"/>
        <v>0</v>
      </c>
    </row>
    <row r="123" spans="2:15">
      <c r="B123" s="49" t="str">
        <f t="shared" si="10"/>
        <v/>
      </c>
      <c r="C123" s="1074" t="str">
        <f>IF(D98="","-",+C122+1)</f>
        <v>-</v>
      </c>
      <c r="D123" s="1079">
        <f t="shared" si="7"/>
        <v>0</v>
      </c>
      <c r="E123" s="1080">
        <f>IF(+I101&lt;F122,I101,D123)</f>
        <v>0</v>
      </c>
      <c r="F123" s="1079">
        <f t="shared" si="2"/>
        <v>0</v>
      </c>
      <c r="G123" s="1080">
        <f t="shared" si="8"/>
        <v>0</v>
      </c>
      <c r="H123" s="1058">
        <f t="shared" si="9"/>
        <v>0</v>
      </c>
      <c r="I123" s="1076">
        <f t="shared" si="3"/>
        <v>0</v>
      </c>
      <c r="J123" s="1076"/>
      <c r="K123" s="1081"/>
      <c r="L123" s="1078">
        <f t="shared" si="4"/>
        <v>0</v>
      </c>
      <c r="M123" s="1081"/>
      <c r="N123" s="1078">
        <f t="shared" si="5"/>
        <v>0</v>
      </c>
      <c r="O123" s="1078">
        <f t="shared" si="6"/>
        <v>0</v>
      </c>
    </row>
    <row r="124" spans="2:15">
      <c r="B124" s="49" t="str">
        <f t="shared" si="10"/>
        <v/>
      </c>
      <c r="C124" s="1074" t="str">
        <f>IF(D98="","-",+C123+1)</f>
        <v>-</v>
      </c>
      <c r="D124" s="1079">
        <f t="shared" si="7"/>
        <v>0</v>
      </c>
      <c r="E124" s="1080">
        <f>IF(+I101&lt;F123,I101,D124)</f>
        <v>0</v>
      </c>
      <c r="F124" s="1079">
        <f t="shared" si="2"/>
        <v>0</v>
      </c>
      <c r="G124" s="1080">
        <f t="shared" si="8"/>
        <v>0</v>
      </c>
      <c r="H124" s="1058">
        <f t="shared" si="9"/>
        <v>0</v>
      </c>
      <c r="I124" s="1076">
        <f t="shared" si="3"/>
        <v>0</v>
      </c>
      <c r="J124" s="1076"/>
      <c r="K124" s="1081"/>
      <c r="L124" s="1078">
        <f t="shared" si="4"/>
        <v>0</v>
      </c>
      <c r="M124" s="1081"/>
      <c r="N124" s="1078">
        <f t="shared" si="5"/>
        <v>0</v>
      </c>
      <c r="O124" s="1078">
        <f t="shared" si="6"/>
        <v>0</v>
      </c>
    </row>
    <row r="125" spans="2:15">
      <c r="B125" s="49" t="str">
        <f t="shared" si="10"/>
        <v/>
      </c>
      <c r="C125" s="1074" t="str">
        <f>IF(D98="","-",+C124+1)</f>
        <v>-</v>
      </c>
      <c r="D125" s="1079">
        <f t="shared" si="7"/>
        <v>0</v>
      </c>
      <c r="E125" s="1080">
        <f>IF(+I101&lt;F124,I101,D125)</f>
        <v>0</v>
      </c>
      <c r="F125" s="1079">
        <f t="shared" si="2"/>
        <v>0</v>
      </c>
      <c r="G125" s="1080">
        <f t="shared" si="8"/>
        <v>0</v>
      </c>
      <c r="H125" s="1058">
        <f t="shared" si="9"/>
        <v>0</v>
      </c>
      <c r="I125" s="1076">
        <f t="shared" si="3"/>
        <v>0</v>
      </c>
      <c r="J125" s="1076"/>
      <c r="K125" s="1081"/>
      <c r="L125" s="1078">
        <f t="shared" si="4"/>
        <v>0</v>
      </c>
      <c r="M125" s="1081"/>
      <c r="N125" s="1078">
        <f t="shared" si="5"/>
        <v>0</v>
      </c>
      <c r="O125" s="1078">
        <f t="shared" si="6"/>
        <v>0</v>
      </c>
    </row>
    <row r="126" spans="2:15">
      <c r="B126" s="49" t="str">
        <f t="shared" si="10"/>
        <v/>
      </c>
      <c r="C126" s="1074" t="str">
        <f>IF(D98="","-",+C125+1)</f>
        <v>-</v>
      </c>
      <c r="D126" s="1079">
        <f t="shared" si="7"/>
        <v>0</v>
      </c>
      <c r="E126" s="1080">
        <f>IF(+I101&lt;F125,I101,D126)</f>
        <v>0</v>
      </c>
      <c r="F126" s="1079">
        <f t="shared" si="2"/>
        <v>0</v>
      </c>
      <c r="G126" s="1080">
        <f t="shared" si="8"/>
        <v>0</v>
      </c>
      <c r="H126" s="1058">
        <f t="shared" si="9"/>
        <v>0</v>
      </c>
      <c r="I126" s="1076">
        <f t="shared" si="3"/>
        <v>0</v>
      </c>
      <c r="J126" s="1076"/>
      <c r="K126" s="1081"/>
      <c r="L126" s="1078">
        <f t="shared" si="4"/>
        <v>0</v>
      </c>
      <c r="M126" s="1081"/>
      <c r="N126" s="1078">
        <f t="shared" si="5"/>
        <v>0</v>
      </c>
      <c r="O126" s="1078">
        <f t="shared" si="6"/>
        <v>0</v>
      </c>
    </row>
    <row r="127" spans="2:15">
      <c r="B127" s="49" t="str">
        <f t="shared" si="10"/>
        <v/>
      </c>
      <c r="C127" s="1074" t="str">
        <f>IF(D98="","-",+C126+1)</f>
        <v>-</v>
      </c>
      <c r="D127" s="1079">
        <f t="shared" si="7"/>
        <v>0</v>
      </c>
      <c r="E127" s="1080">
        <f>IF(+I101&lt;F126,I101,D127)</f>
        <v>0</v>
      </c>
      <c r="F127" s="1079">
        <f t="shared" si="2"/>
        <v>0</v>
      </c>
      <c r="G127" s="1080">
        <f t="shared" si="8"/>
        <v>0</v>
      </c>
      <c r="H127" s="1058">
        <f t="shared" si="9"/>
        <v>0</v>
      </c>
      <c r="I127" s="1076">
        <f t="shared" si="3"/>
        <v>0</v>
      </c>
      <c r="J127" s="1076"/>
      <c r="K127" s="1081"/>
      <c r="L127" s="1078">
        <f t="shared" si="4"/>
        <v>0</v>
      </c>
      <c r="M127" s="1081"/>
      <c r="N127" s="1078">
        <f t="shared" si="5"/>
        <v>0</v>
      </c>
      <c r="O127" s="1078">
        <f t="shared" si="6"/>
        <v>0</v>
      </c>
    </row>
    <row r="128" spans="2:15">
      <c r="B128" s="49" t="str">
        <f t="shared" si="10"/>
        <v/>
      </c>
      <c r="C128" s="1074" t="str">
        <f>IF(D98="","-",+C127+1)</f>
        <v>-</v>
      </c>
      <c r="D128" s="1079">
        <f t="shared" si="7"/>
        <v>0</v>
      </c>
      <c r="E128" s="1080">
        <f>IF(+I101&lt;F127,I101,D128)</f>
        <v>0</v>
      </c>
      <c r="F128" s="1079">
        <f t="shared" si="2"/>
        <v>0</v>
      </c>
      <c r="G128" s="1080">
        <f t="shared" si="8"/>
        <v>0</v>
      </c>
      <c r="H128" s="1058">
        <f t="shared" si="9"/>
        <v>0</v>
      </c>
      <c r="I128" s="1076">
        <f t="shared" si="3"/>
        <v>0</v>
      </c>
      <c r="J128" s="1076"/>
      <c r="K128" s="1081"/>
      <c r="L128" s="1078">
        <f t="shared" si="4"/>
        <v>0</v>
      </c>
      <c r="M128" s="1081"/>
      <c r="N128" s="1078">
        <f t="shared" si="5"/>
        <v>0</v>
      </c>
      <c r="O128" s="1078">
        <f t="shared" si="6"/>
        <v>0</v>
      </c>
    </row>
    <row r="129" spans="2:15">
      <c r="B129" s="49" t="str">
        <f t="shared" si="10"/>
        <v/>
      </c>
      <c r="C129" s="1074" t="str">
        <f>IF(D98="","-",+C128+1)</f>
        <v>-</v>
      </c>
      <c r="D129" s="1079">
        <f t="shared" si="7"/>
        <v>0</v>
      </c>
      <c r="E129" s="1080">
        <f>IF(+I101&lt;F128,I101,D129)</f>
        <v>0</v>
      </c>
      <c r="F129" s="1079">
        <f t="shared" si="2"/>
        <v>0</v>
      </c>
      <c r="G129" s="1080">
        <f t="shared" si="8"/>
        <v>0</v>
      </c>
      <c r="H129" s="1058">
        <f t="shared" si="9"/>
        <v>0</v>
      </c>
      <c r="I129" s="1076">
        <f t="shared" si="3"/>
        <v>0</v>
      </c>
      <c r="J129" s="1076"/>
      <c r="K129" s="1081"/>
      <c r="L129" s="1078">
        <f t="shared" si="4"/>
        <v>0</v>
      </c>
      <c r="M129" s="1081"/>
      <c r="N129" s="1078">
        <f t="shared" si="5"/>
        <v>0</v>
      </c>
      <c r="O129" s="1078">
        <f t="shared" si="6"/>
        <v>0</v>
      </c>
    </row>
    <row r="130" spans="2:15">
      <c r="B130" s="49" t="str">
        <f t="shared" si="10"/>
        <v/>
      </c>
      <c r="C130" s="1074" t="str">
        <f>IF(D98="","-",+C129+1)</f>
        <v>-</v>
      </c>
      <c r="D130" s="1079">
        <f t="shared" si="7"/>
        <v>0</v>
      </c>
      <c r="E130" s="1080">
        <f>IF(+I101&lt;F129,I101,D130)</f>
        <v>0</v>
      </c>
      <c r="F130" s="1079">
        <f t="shared" si="2"/>
        <v>0</v>
      </c>
      <c r="G130" s="1080">
        <f t="shared" si="8"/>
        <v>0</v>
      </c>
      <c r="H130" s="1058">
        <f t="shared" si="9"/>
        <v>0</v>
      </c>
      <c r="I130" s="1076">
        <f t="shared" si="3"/>
        <v>0</v>
      </c>
      <c r="J130" s="1076"/>
      <c r="K130" s="1081"/>
      <c r="L130" s="1078">
        <f t="shared" si="4"/>
        <v>0</v>
      </c>
      <c r="M130" s="1081"/>
      <c r="N130" s="1078">
        <f t="shared" si="5"/>
        <v>0</v>
      </c>
      <c r="O130" s="1078">
        <f t="shared" si="6"/>
        <v>0</v>
      </c>
    </row>
    <row r="131" spans="2:15">
      <c r="B131" s="49" t="str">
        <f t="shared" si="10"/>
        <v/>
      </c>
      <c r="C131" s="1074" t="str">
        <f>IF(D98="","-",+C130+1)</f>
        <v>-</v>
      </c>
      <c r="D131" s="1079">
        <f t="shared" si="7"/>
        <v>0</v>
      </c>
      <c r="E131" s="1080">
        <f>IF(+I101&lt;F130,I101,D131)</f>
        <v>0</v>
      </c>
      <c r="F131" s="1079">
        <f t="shared" si="2"/>
        <v>0</v>
      </c>
      <c r="G131" s="1080">
        <f t="shared" si="8"/>
        <v>0</v>
      </c>
      <c r="H131" s="1058">
        <f t="shared" si="9"/>
        <v>0</v>
      </c>
      <c r="I131" s="1076">
        <f t="shared" si="3"/>
        <v>0</v>
      </c>
      <c r="J131" s="1076"/>
      <c r="K131" s="1081"/>
      <c r="L131" s="1078">
        <f t="shared" si="4"/>
        <v>0</v>
      </c>
      <c r="M131" s="1081"/>
      <c r="N131" s="1078">
        <f t="shared" si="5"/>
        <v>0</v>
      </c>
      <c r="O131" s="1078">
        <f t="shared" si="6"/>
        <v>0</v>
      </c>
    </row>
    <row r="132" spans="2:15">
      <c r="B132" s="49" t="str">
        <f t="shared" si="10"/>
        <v/>
      </c>
      <c r="C132" s="1074" t="str">
        <f>IF(D98="","-",+C131+1)</f>
        <v>-</v>
      </c>
      <c r="D132" s="1079">
        <f t="shared" si="7"/>
        <v>0</v>
      </c>
      <c r="E132" s="1080">
        <f>IF(+I101&lt;F131,I101,D132)</f>
        <v>0</v>
      </c>
      <c r="F132" s="1079">
        <f t="shared" si="2"/>
        <v>0</v>
      </c>
      <c r="G132" s="1080">
        <f t="shared" si="8"/>
        <v>0</v>
      </c>
      <c r="H132" s="1058">
        <f t="shared" si="9"/>
        <v>0</v>
      </c>
      <c r="I132" s="1076">
        <f t="shared" si="3"/>
        <v>0</v>
      </c>
      <c r="J132" s="1076"/>
      <c r="K132" s="1081"/>
      <c r="L132" s="1078">
        <f t="shared" si="4"/>
        <v>0</v>
      </c>
      <c r="M132" s="1081"/>
      <c r="N132" s="1078">
        <f t="shared" si="5"/>
        <v>0</v>
      </c>
      <c r="O132" s="1078">
        <f t="shared" si="6"/>
        <v>0</v>
      </c>
    </row>
    <row r="133" spans="2:15">
      <c r="B133" s="49" t="str">
        <f t="shared" si="10"/>
        <v/>
      </c>
      <c r="C133" s="1074" t="str">
        <f>IF(D98="","-",+C132+1)</f>
        <v>-</v>
      </c>
      <c r="D133" s="1079">
        <f t="shared" si="7"/>
        <v>0</v>
      </c>
      <c r="E133" s="1080">
        <f>IF(+I101&lt;F132,I101,D133)</f>
        <v>0</v>
      </c>
      <c r="F133" s="1079">
        <f t="shared" si="2"/>
        <v>0</v>
      </c>
      <c r="G133" s="1080">
        <f t="shared" si="8"/>
        <v>0</v>
      </c>
      <c r="H133" s="1058">
        <f t="shared" si="9"/>
        <v>0</v>
      </c>
      <c r="I133" s="1076">
        <f t="shared" si="3"/>
        <v>0</v>
      </c>
      <c r="J133" s="1076"/>
      <c r="K133" s="1081"/>
      <c r="L133" s="1078">
        <f t="shared" si="4"/>
        <v>0</v>
      </c>
      <c r="M133" s="1081"/>
      <c r="N133" s="1078">
        <f t="shared" si="5"/>
        <v>0</v>
      </c>
      <c r="O133" s="1078">
        <f t="shared" si="6"/>
        <v>0</v>
      </c>
    </row>
    <row r="134" spans="2:15">
      <c r="B134" s="49" t="str">
        <f t="shared" si="10"/>
        <v/>
      </c>
      <c r="C134" s="1074" t="str">
        <f>IF(D98="","-",+C133+1)</f>
        <v>-</v>
      </c>
      <c r="D134" s="1079">
        <f t="shared" si="7"/>
        <v>0</v>
      </c>
      <c r="E134" s="1080">
        <f>IF(+I101&lt;F133,I101,D134)</f>
        <v>0</v>
      </c>
      <c r="F134" s="1079">
        <f t="shared" si="2"/>
        <v>0</v>
      </c>
      <c r="G134" s="1080">
        <f t="shared" si="8"/>
        <v>0</v>
      </c>
      <c r="H134" s="1058">
        <f t="shared" si="9"/>
        <v>0</v>
      </c>
      <c r="I134" s="1076">
        <f t="shared" si="3"/>
        <v>0</v>
      </c>
      <c r="J134" s="1076"/>
      <c r="K134" s="1081"/>
      <c r="L134" s="1078">
        <f t="shared" si="4"/>
        <v>0</v>
      </c>
      <c r="M134" s="1081"/>
      <c r="N134" s="1078">
        <f t="shared" si="5"/>
        <v>0</v>
      </c>
      <c r="O134" s="1078">
        <f t="shared" si="6"/>
        <v>0</v>
      </c>
    </row>
    <row r="135" spans="2:15">
      <c r="B135" s="49" t="str">
        <f t="shared" si="10"/>
        <v/>
      </c>
      <c r="C135" s="1074" t="str">
        <f>IF(D98="","-",+C134+1)</f>
        <v>-</v>
      </c>
      <c r="D135" s="1079">
        <f t="shared" si="7"/>
        <v>0</v>
      </c>
      <c r="E135" s="1080">
        <f>IF(+I101&lt;F134,I101,D135)</f>
        <v>0</v>
      </c>
      <c r="F135" s="1079">
        <f t="shared" si="2"/>
        <v>0</v>
      </c>
      <c r="G135" s="1080">
        <f t="shared" si="8"/>
        <v>0</v>
      </c>
      <c r="H135" s="1058">
        <f t="shared" si="9"/>
        <v>0</v>
      </c>
      <c r="I135" s="1076">
        <f t="shared" si="3"/>
        <v>0</v>
      </c>
      <c r="J135" s="1076"/>
      <c r="K135" s="1081"/>
      <c r="L135" s="1078">
        <f t="shared" si="4"/>
        <v>0</v>
      </c>
      <c r="M135" s="1081"/>
      <c r="N135" s="1078">
        <f t="shared" si="5"/>
        <v>0</v>
      </c>
      <c r="O135" s="1078">
        <f t="shared" si="6"/>
        <v>0</v>
      </c>
    </row>
    <row r="136" spans="2:15">
      <c r="B136" s="49" t="str">
        <f t="shared" si="10"/>
        <v/>
      </c>
      <c r="C136" s="1074" t="str">
        <f>IF(D98="","-",+C135+1)</f>
        <v>-</v>
      </c>
      <c r="D136" s="1079">
        <f t="shared" si="7"/>
        <v>0</v>
      </c>
      <c r="E136" s="1080">
        <f>IF(+I101&lt;F135,I101,D136)</f>
        <v>0</v>
      </c>
      <c r="F136" s="1079">
        <f t="shared" si="2"/>
        <v>0</v>
      </c>
      <c r="G136" s="1080">
        <f t="shared" si="8"/>
        <v>0</v>
      </c>
      <c r="H136" s="1058">
        <f t="shared" si="9"/>
        <v>0</v>
      </c>
      <c r="I136" s="1076">
        <f t="shared" si="3"/>
        <v>0</v>
      </c>
      <c r="J136" s="1076"/>
      <c r="K136" s="1081"/>
      <c r="L136" s="1078">
        <f t="shared" si="4"/>
        <v>0</v>
      </c>
      <c r="M136" s="1081"/>
      <c r="N136" s="1078">
        <f t="shared" si="5"/>
        <v>0</v>
      </c>
      <c r="O136" s="1078">
        <f t="shared" si="6"/>
        <v>0</v>
      </c>
    </row>
    <row r="137" spans="2:15">
      <c r="B137" s="49" t="str">
        <f t="shared" si="10"/>
        <v/>
      </c>
      <c r="C137" s="1074" t="str">
        <f>IF(D98="","-",+C136+1)</f>
        <v>-</v>
      </c>
      <c r="D137" s="1079">
        <f t="shared" si="7"/>
        <v>0</v>
      </c>
      <c r="E137" s="1080">
        <f>IF(+I101&lt;F136,I101,D137)</f>
        <v>0</v>
      </c>
      <c r="F137" s="1079">
        <f t="shared" si="2"/>
        <v>0</v>
      </c>
      <c r="G137" s="1080">
        <f t="shared" si="8"/>
        <v>0</v>
      </c>
      <c r="H137" s="1058">
        <f t="shared" si="9"/>
        <v>0</v>
      </c>
      <c r="I137" s="1076">
        <f t="shared" si="3"/>
        <v>0</v>
      </c>
      <c r="J137" s="1076"/>
      <c r="K137" s="1081"/>
      <c r="L137" s="1078">
        <f t="shared" si="4"/>
        <v>0</v>
      </c>
      <c r="M137" s="1081"/>
      <c r="N137" s="1078">
        <f t="shared" si="5"/>
        <v>0</v>
      </c>
      <c r="O137" s="1078">
        <f t="shared" si="6"/>
        <v>0</v>
      </c>
    </row>
    <row r="138" spans="2:15">
      <c r="B138" s="49" t="str">
        <f t="shared" si="10"/>
        <v/>
      </c>
      <c r="C138" s="1074" t="str">
        <f>IF(D98="","-",+C137+1)</f>
        <v>-</v>
      </c>
      <c r="D138" s="1079">
        <f t="shared" si="7"/>
        <v>0</v>
      </c>
      <c r="E138" s="1080">
        <f>IF(+I101&lt;F137,I101,D138)</f>
        <v>0</v>
      </c>
      <c r="F138" s="1079">
        <f t="shared" si="2"/>
        <v>0</v>
      </c>
      <c r="G138" s="1080">
        <f t="shared" si="8"/>
        <v>0</v>
      </c>
      <c r="H138" s="1058">
        <f t="shared" si="9"/>
        <v>0</v>
      </c>
      <c r="I138" s="1076">
        <f t="shared" si="3"/>
        <v>0</v>
      </c>
      <c r="J138" s="1076"/>
      <c r="K138" s="1081"/>
      <c r="L138" s="1078">
        <f t="shared" si="4"/>
        <v>0</v>
      </c>
      <c r="M138" s="1081"/>
      <c r="N138" s="1078">
        <f t="shared" si="5"/>
        <v>0</v>
      </c>
      <c r="O138" s="1078">
        <f t="shared" si="6"/>
        <v>0</v>
      </c>
    </row>
    <row r="139" spans="2:15">
      <c r="B139" s="49" t="str">
        <f t="shared" si="10"/>
        <v/>
      </c>
      <c r="C139" s="1074" t="str">
        <f>IF(D98="","-",+C138+1)</f>
        <v>-</v>
      </c>
      <c r="D139" s="1079">
        <f t="shared" si="7"/>
        <v>0</v>
      </c>
      <c r="E139" s="1080">
        <f>IF(+I101&lt;F138,I101,D139)</f>
        <v>0</v>
      </c>
      <c r="F139" s="1079">
        <f t="shared" si="2"/>
        <v>0</v>
      </c>
      <c r="G139" s="1080">
        <f t="shared" si="8"/>
        <v>0</v>
      </c>
      <c r="H139" s="1058">
        <f t="shared" si="9"/>
        <v>0</v>
      </c>
      <c r="I139" s="1076">
        <f t="shared" si="3"/>
        <v>0</v>
      </c>
      <c r="J139" s="1076"/>
      <c r="K139" s="1081"/>
      <c r="L139" s="1078">
        <f t="shared" si="4"/>
        <v>0</v>
      </c>
      <c r="M139" s="1081"/>
      <c r="N139" s="1078">
        <f t="shared" si="5"/>
        <v>0</v>
      </c>
      <c r="O139" s="1078">
        <f t="shared" si="6"/>
        <v>0</v>
      </c>
    </row>
    <row r="140" spans="2:15">
      <c r="B140" s="49" t="str">
        <f t="shared" si="10"/>
        <v/>
      </c>
      <c r="C140" s="1074" t="str">
        <f>IF(D98="","-",+C139+1)</f>
        <v>-</v>
      </c>
      <c r="D140" s="1079">
        <f t="shared" si="7"/>
        <v>0</v>
      </c>
      <c r="E140" s="1080">
        <f>IF(+I101&lt;F139,I101,D140)</f>
        <v>0</v>
      </c>
      <c r="F140" s="1079">
        <f t="shared" si="2"/>
        <v>0</v>
      </c>
      <c r="G140" s="1080">
        <f t="shared" si="8"/>
        <v>0</v>
      </c>
      <c r="H140" s="1058">
        <f t="shared" si="9"/>
        <v>0</v>
      </c>
      <c r="I140" s="1076">
        <f t="shared" si="3"/>
        <v>0</v>
      </c>
      <c r="J140" s="1076"/>
      <c r="K140" s="1081"/>
      <c r="L140" s="1078">
        <f t="shared" si="4"/>
        <v>0</v>
      </c>
      <c r="M140" s="1081"/>
      <c r="N140" s="1078">
        <f t="shared" si="5"/>
        <v>0</v>
      </c>
      <c r="O140" s="1078">
        <f t="shared" si="6"/>
        <v>0</v>
      </c>
    </row>
    <row r="141" spans="2:15">
      <c r="B141" s="49" t="str">
        <f t="shared" si="10"/>
        <v/>
      </c>
      <c r="C141" s="1074" t="str">
        <f>IF(D98="","-",+C140+1)</f>
        <v>-</v>
      </c>
      <c r="D141" s="1079">
        <f t="shared" si="7"/>
        <v>0</v>
      </c>
      <c r="E141" s="1080">
        <f>IF(+I101&lt;F140,I101,D141)</f>
        <v>0</v>
      </c>
      <c r="F141" s="1079">
        <f t="shared" si="2"/>
        <v>0</v>
      </c>
      <c r="G141" s="1080">
        <f t="shared" si="8"/>
        <v>0</v>
      </c>
      <c r="H141" s="1058">
        <f t="shared" si="9"/>
        <v>0</v>
      </c>
      <c r="I141" s="1076">
        <f t="shared" si="3"/>
        <v>0</v>
      </c>
      <c r="J141" s="1076"/>
      <c r="K141" s="1081"/>
      <c r="L141" s="1078">
        <f t="shared" si="4"/>
        <v>0</v>
      </c>
      <c r="M141" s="1081"/>
      <c r="N141" s="1078">
        <f t="shared" si="5"/>
        <v>0</v>
      </c>
      <c r="O141" s="1078">
        <f t="shared" si="6"/>
        <v>0</v>
      </c>
    </row>
    <row r="142" spans="2:15">
      <c r="B142" s="49" t="str">
        <f t="shared" si="10"/>
        <v/>
      </c>
      <c r="C142" s="1074" t="str">
        <f>IF(D98="","-",+C141+1)</f>
        <v>-</v>
      </c>
      <c r="D142" s="1079">
        <f t="shared" si="7"/>
        <v>0</v>
      </c>
      <c r="E142" s="1080">
        <f>IF(+I101&lt;F141,I101,D142)</f>
        <v>0</v>
      </c>
      <c r="F142" s="1079">
        <f t="shared" si="2"/>
        <v>0</v>
      </c>
      <c r="G142" s="1080">
        <f t="shared" si="8"/>
        <v>0</v>
      </c>
      <c r="H142" s="1058">
        <f t="shared" si="9"/>
        <v>0</v>
      </c>
      <c r="I142" s="1076">
        <f t="shared" si="3"/>
        <v>0</v>
      </c>
      <c r="J142" s="1076"/>
      <c r="K142" s="1081"/>
      <c r="L142" s="1078">
        <f t="shared" si="4"/>
        <v>0</v>
      </c>
      <c r="M142" s="1081"/>
      <c r="N142" s="1078">
        <f t="shared" si="5"/>
        <v>0</v>
      </c>
      <c r="O142" s="1078">
        <f t="shared" si="6"/>
        <v>0</v>
      </c>
    </row>
    <row r="143" spans="2:15">
      <c r="B143" s="49" t="str">
        <f t="shared" si="10"/>
        <v/>
      </c>
      <c r="C143" s="1074" t="str">
        <f>IF(D98="","-",+C142+1)</f>
        <v>-</v>
      </c>
      <c r="D143" s="1079">
        <f t="shared" si="7"/>
        <v>0</v>
      </c>
      <c r="E143" s="1080">
        <f>IF(+I101&lt;F142,I101,D143)</f>
        <v>0</v>
      </c>
      <c r="F143" s="1079">
        <f t="shared" si="2"/>
        <v>0</v>
      </c>
      <c r="G143" s="1080">
        <f t="shared" si="8"/>
        <v>0</v>
      </c>
      <c r="H143" s="1058">
        <f t="shared" si="9"/>
        <v>0</v>
      </c>
      <c r="I143" s="1076">
        <f t="shared" si="3"/>
        <v>0</v>
      </c>
      <c r="J143" s="1076"/>
      <c r="K143" s="1081"/>
      <c r="L143" s="1078">
        <f t="shared" si="4"/>
        <v>0</v>
      </c>
      <c r="M143" s="1081"/>
      <c r="N143" s="1078">
        <f t="shared" si="5"/>
        <v>0</v>
      </c>
      <c r="O143" s="1078">
        <f t="shared" si="6"/>
        <v>0</v>
      </c>
    </row>
    <row r="144" spans="2:15">
      <c r="B144" s="49" t="str">
        <f t="shared" si="10"/>
        <v/>
      </c>
      <c r="C144" s="1074" t="str">
        <f>IF(D98="","-",+C143+1)</f>
        <v>-</v>
      </c>
      <c r="D144" s="1079">
        <f t="shared" si="7"/>
        <v>0</v>
      </c>
      <c r="E144" s="1080">
        <f>IF(+I101&lt;F143,I101,D144)</f>
        <v>0</v>
      </c>
      <c r="F144" s="1079">
        <f t="shared" si="2"/>
        <v>0</v>
      </c>
      <c r="G144" s="1080">
        <f t="shared" si="8"/>
        <v>0</v>
      </c>
      <c r="H144" s="1058">
        <f t="shared" si="9"/>
        <v>0</v>
      </c>
      <c r="I144" s="1076">
        <f t="shared" si="3"/>
        <v>0</v>
      </c>
      <c r="J144" s="1076"/>
      <c r="K144" s="1081"/>
      <c r="L144" s="1078">
        <f t="shared" si="4"/>
        <v>0</v>
      </c>
      <c r="M144" s="1081"/>
      <c r="N144" s="1078">
        <f t="shared" si="5"/>
        <v>0</v>
      </c>
      <c r="O144" s="1078">
        <f t="shared" si="6"/>
        <v>0</v>
      </c>
    </row>
    <row r="145" spans="2:15">
      <c r="B145" s="49" t="str">
        <f t="shared" si="10"/>
        <v/>
      </c>
      <c r="C145" s="1074" t="str">
        <f>IF(D98="","-",+C144+1)</f>
        <v>-</v>
      </c>
      <c r="D145" s="1079">
        <f t="shared" si="7"/>
        <v>0</v>
      </c>
      <c r="E145" s="1080">
        <f>IF(+I101&lt;F144,I101,D145)</f>
        <v>0</v>
      </c>
      <c r="F145" s="1079">
        <f t="shared" si="2"/>
        <v>0</v>
      </c>
      <c r="G145" s="1080">
        <f t="shared" si="8"/>
        <v>0</v>
      </c>
      <c r="H145" s="1058">
        <f t="shared" si="9"/>
        <v>0</v>
      </c>
      <c r="I145" s="1076">
        <f t="shared" si="3"/>
        <v>0</v>
      </c>
      <c r="J145" s="1076"/>
      <c r="K145" s="1081"/>
      <c r="L145" s="1078">
        <f t="shared" si="4"/>
        <v>0</v>
      </c>
      <c r="M145" s="1081"/>
      <c r="N145" s="1078">
        <f t="shared" si="5"/>
        <v>0</v>
      </c>
      <c r="O145" s="1078">
        <f t="shared" si="6"/>
        <v>0</v>
      </c>
    </row>
    <row r="146" spans="2:15">
      <c r="B146" s="49" t="str">
        <f t="shared" si="10"/>
        <v/>
      </c>
      <c r="C146" s="1074" t="str">
        <f>IF(D98="","-",+C145+1)</f>
        <v>-</v>
      </c>
      <c r="D146" s="1079">
        <f t="shared" si="7"/>
        <v>0</v>
      </c>
      <c r="E146" s="1080">
        <f>IF(+I101&lt;F145,I101,D146)</f>
        <v>0</v>
      </c>
      <c r="F146" s="1079">
        <f t="shared" si="2"/>
        <v>0</v>
      </c>
      <c r="G146" s="1080">
        <f t="shared" si="8"/>
        <v>0</v>
      </c>
      <c r="H146" s="1058">
        <f t="shared" si="9"/>
        <v>0</v>
      </c>
      <c r="I146" s="1076">
        <f t="shared" si="3"/>
        <v>0</v>
      </c>
      <c r="J146" s="1076"/>
      <c r="K146" s="1081"/>
      <c r="L146" s="1078">
        <f t="shared" si="4"/>
        <v>0</v>
      </c>
      <c r="M146" s="1081"/>
      <c r="N146" s="1078">
        <f t="shared" si="5"/>
        <v>0</v>
      </c>
      <c r="O146" s="1078">
        <f t="shared" si="6"/>
        <v>0</v>
      </c>
    </row>
    <row r="147" spans="2:15">
      <c r="B147" s="49" t="str">
        <f t="shared" si="10"/>
        <v/>
      </c>
      <c r="C147" s="1074" t="str">
        <f>IF(D98="","-",+C146+1)</f>
        <v>-</v>
      </c>
      <c r="D147" s="1079">
        <f t="shared" si="7"/>
        <v>0</v>
      </c>
      <c r="E147" s="1080">
        <f>IF(+I101&lt;F146,I101,D147)</f>
        <v>0</v>
      </c>
      <c r="F147" s="1079">
        <f t="shared" si="2"/>
        <v>0</v>
      </c>
      <c r="G147" s="1080">
        <f t="shared" si="8"/>
        <v>0</v>
      </c>
      <c r="H147" s="1058">
        <f t="shared" si="9"/>
        <v>0</v>
      </c>
      <c r="I147" s="1076">
        <f t="shared" si="3"/>
        <v>0</v>
      </c>
      <c r="J147" s="1076"/>
      <c r="K147" s="1081"/>
      <c r="L147" s="1078">
        <f t="shared" si="4"/>
        <v>0</v>
      </c>
      <c r="M147" s="1081"/>
      <c r="N147" s="1078">
        <f t="shared" si="5"/>
        <v>0</v>
      </c>
      <c r="O147" s="1078">
        <f t="shared" si="6"/>
        <v>0</v>
      </c>
    </row>
    <row r="148" spans="2:15">
      <c r="B148" s="49" t="str">
        <f t="shared" si="10"/>
        <v/>
      </c>
      <c r="C148" s="1074" t="str">
        <f>IF(D98="","-",+C147+1)</f>
        <v>-</v>
      </c>
      <c r="D148" s="1079">
        <f t="shared" si="7"/>
        <v>0</v>
      </c>
      <c r="E148" s="1080">
        <f>IF(+I101&lt;F147,I101,D148)</f>
        <v>0</v>
      </c>
      <c r="F148" s="1079">
        <f t="shared" si="2"/>
        <v>0</v>
      </c>
      <c r="G148" s="1082">
        <f t="shared" si="8"/>
        <v>0</v>
      </c>
      <c r="H148" s="1058">
        <f t="shared" si="9"/>
        <v>0</v>
      </c>
      <c r="I148" s="1076">
        <f t="shared" si="3"/>
        <v>0</v>
      </c>
      <c r="J148" s="1076"/>
      <c r="K148" s="1081"/>
      <c r="L148" s="1078">
        <f t="shared" si="4"/>
        <v>0</v>
      </c>
      <c r="M148" s="1081"/>
      <c r="N148" s="1078">
        <f t="shared" si="5"/>
        <v>0</v>
      </c>
      <c r="O148" s="1078">
        <f t="shared" si="6"/>
        <v>0</v>
      </c>
    </row>
    <row r="149" spans="2:15">
      <c r="B149" s="49" t="str">
        <f t="shared" si="10"/>
        <v/>
      </c>
      <c r="C149" s="1074" t="str">
        <f>IF(D98="","-",+C148+1)</f>
        <v>-</v>
      </c>
      <c r="D149" s="1079">
        <f t="shared" si="7"/>
        <v>0</v>
      </c>
      <c r="E149" s="1080">
        <f>IF(+I101&lt;F148,I101,D149)</f>
        <v>0</v>
      </c>
      <c r="F149" s="1079">
        <f t="shared" si="2"/>
        <v>0</v>
      </c>
      <c r="G149" s="1082">
        <f t="shared" si="8"/>
        <v>0</v>
      </c>
      <c r="H149" s="1058">
        <f t="shared" si="9"/>
        <v>0</v>
      </c>
      <c r="I149" s="1076">
        <f t="shared" si="3"/>
        <v>0</v>
      </c>
      <c r="J149" s="1076"/>
      <c r="K149" s="1081"/>
      <c r="L149" s="1078">
        <f t="shared" si="4"/>
        <v>0</v>
      </c>
      <c r="M149" s="1081"/>
      <c r="N149" s="1078">
        <f t="shared" si="5"/>
        <v>0</v>
      </c>
      <c r="O149" s="1078">
        <f t="shared" si="6"/>
        <v>0</v>
      </c>
    </row>
    <row r="150" spans="2:15">
      <c r="B150" s="49" t="str">
        <f t="shared" si="10"/>
        <v/>
      </c>
      <c r="C150" s="1074" t="str">
        <f>IF(D98="","-",+C149+1)</f>
        <v>-</v>
      </c>
      <c r="D150" s="1079">
        <f t="shared" si="7"/>
        <v>0</v>
      </c>
      <c r="E150" s="1080">
        <f>IF(+I101&lt;F149,I101,D150)</f>
        <v>0</v>
      </c>
      <c r="F150" s="1079">
        <f t="shared" si="2"/>
        <v>0</v>
      </c>
      <c r="G150" s="1082">
        <f t="shared" si="8"/>
        <v>0</v>
      </c>
      <c r="H150" s="1058">
        <f t="shared" si="9"/>
        <v>0</v>
      </c>
      <c r="I150" s="1076">
        <f t="shared" si="3"/>
        <v>0</v>
      </c>
      <c r="J150" s="1076"/>
      <c r="K150" s="1081"/>
      <c r="L150" s="1078">
        <f t="shared" si="4"/>
        <v>0</v>
      </c>
      <c r="M150" s="1081"/>
      <c r="N150" s="1078">
        <f t="shared" si="5"/>
        <v>0</v>
      </c>
      <c r="O150" s="1078">
        <f t="shared" si="6"/>
        <v>0</v>
      </c>
    </row>
    <row r="151" spans="2:15">
      <c r="B151" s="49" t="str">
        <f t="shared" si="10"/>
        <v/>
      </c>
      <c r="C151" s="1074" t="str">
        <f>IF(D98="","-",+C150+1)</f>
        <v>-</v>
      </c>
      <c r="D151" s="1079">
        <f t="shared" si="7"/>
        <v>0</v>
      </c>
      <c r="E151" s="1080">
        <f>IF(+I101&lt;F150,I101,D151)</f>
        <v>0</v>
      </c>
      <c r="F151" s="1079">
        <f t="shared" si="2"/>
        <v>0</v>
      </c>
      <c r="G151" s="1082">
        <f t="shared" si="8"/>
        <v>0</v>
      </c>
      <c r="H151" s="1058">
        <f t="shared" si="9"/>
        <v>0</v>
      </c>
      <c r="I151" s="1076">
        <f t="shared" si="3"/>
        <v>0</v>
      </c>
      <c r="J151" s="1076"/>
      <c r="K151" s="1081"/>
      <c r="L151" s="1078">
        <f t="shared" si="4"/>
        <v>0</v>
      </c>
      <c r="M151" s="1081"/>
      <c r="N151" s="1078">
        <f t="shared" si="5"/>
        <v>0</v>
      </c>
      <c r="O151" s="1078">
        <f t="shared" si="6"/>
        <v>0</v>
      </c>
    </row>
    <row r="152" spans="2:15">
      <c r="B152" s="49" t="str">
        <f t="shared" si="10"/>
        <v/>
      </c>
      <c r="C152" s="1074" t="str">
        <f>IF(D98="","-",+C151+1)</f>
        <v>-</v>
      </c>
      <c r="D152" s="1079">
        <f t="shared" si="7"/>
        <v>0</v>
      </c>
      <c r="E152" s="1080">
        <f>IF(+I101&lt;F151,I101,D152)</f>
        <v>0</v>
      </c>
      <c r="F152" s="1079">
        <f t="shared" si="2"/>
        <v>0</v>
      </c>
      <c r="G152" s="1082">
        <f t="shared" si="8"/>
        <v>0</v>
      </c>
      <c r="H152" s="1058">
        <f t="shared" si="9"/>
        <v>0</v>
      </c>
      <c r="I152" s="1076">
        <f t="shared" si="3"/>
        <v>0</v>
      </c>
      <c r="J152" s="1076"/>
      <c r="K152" s="1081"/>
      <c r="L152" s="1078">
        <f t="shared" si="4"/>
        <v>0</v>
      </c>
      <c r="M152" s="1081"/>
      <c r="N152" s="1078">
        <f t="shared" si="5"/>
        <v>0</v>
      </c>
      <c r="O152" s="1078">
        <f t="shared" si="6"/>
        <v>0</v>
      </c>
    </row>
    <row r="153" spans="2:15">
      <c r="B153" s="49" t="str">
        <f t="shared" si="10"/>
        <v/>
      </c>
      <c r="C153" s="1074" t="str">
        <f>IF(D98="","-",+C152+1)</f>
        <v>-</v>
      </c>
      <c r="D153" s="1079">
        <f t="shared" si="7"/>
        <v>0</v>
      </c>
      <c r="E153" s="1080">
        <f>IF(+I101&lt;F152,I101,D153)</f>
        <v>0</v>
      </c>
      <c r="F153" s="1079">
        <f t="shared" si="2"/>
        <v>0</v>
      </c>
      <c r="G153" s="1082">
        <f t="shared" si="8"/>
        <v>0</v>
      </c>
      <c r="H153" s="1058">
        <f t="shared" si="9"/>
        <v>0</v>
      </c>
      <c r="I153" s="1076">
        <f t="shared" si="3"/>
        <v>0</v>
      </c>
      <c r="J153" s="1076"/>
      <c r="K153" s="1081"/>
      <c r="L153" s="1078">
        <f t="shared" si="4"/>
        <v>0</v>
      </c>
      <c r="M153" s="1081"/>
      <c r="N153" s="1078">
        <f t="shared" si="5"/>
        <v>0</v>
      </c>
      <c r="O153" s="1078">
        <f t="shared" si="6"/>
        <v>0</v>
      </c>
    </row>
    <row r="154" spans="2:15">
      <c r="B154" s="49" t="str">
        <f t="shared" si="10"/>
        <v/>
      </c>
      <c r="C154" s="1074" t="str">
        <f>IF(D98="","-",+C153+1)</f>
        <v>-</v>
      </c>
      <c r="D154" s="1079">
        <f t="shared" si="7"/>
        <v>0</v>
      </c>
      <c r="E154" s="1080">
        <f>IF(+I101&lt;F153,I101,D154)</f>
        <v>0</v>
      </c>
      <c r="F154" s="1079">
        <f t="shared" si="2"/>
        <v>0</v>
      </c>
      <c r="G154" s="1082">
        <f t="shared" si="8"/>
        <v>0</v>
      </c>
      <c r="H154" s="1058">
        <f t="shared" si="9"/>
        <v>0</v>
      </c>
      <c r="I154" s="1076">
        <f t="shared" si="3"/>
        <v>0</v>
      </c>
      <c r="J154" s="1076"/>
      <c r="K154" s="1081"/>
      <c r="L154" s="1078">
        <f t="shared" si="4"/>
        <v>0</v>
      </c>
      <c r="M154" s="1081"/>
      <c r="N154" s="1078">
        <f t="shared" si="5"/>
        <v>0</v>
      </c>
      <c r="O154" s="1078">
        <f t="shared" si="6"/>
        <v>0</v>
      </c>
    </row>
    <row r="155" spans="2:15">
      <c r="B155" s="49" t="str">
        <f t="shared" si="10"/>
        <v/>
      </c>
      <c r="C155" s="1074" t="str">
        <f>IF(D98="","-",+C154+1)</f>
        <v>-</v>
      </c>
      <c r="D155" s="1079">
        <f t="shared" si="7"/>
        <v>0</v>
      </c>
      <c r="E155" s="1080">
        <f>IF(+I101&lt;F154,I101,D155)</f>
        <v>0</v>
      </c>
      <c r="F155" s="1079">
        <f t="shared" si="2"/>
        <v>0</v>
      </c>
      <c r="G155" s="1082">
        <f t="shared" si="8"/>
        <v>0</v>
      </c>
      <c r="H155" s="1058">
        <f t="shared" si="9"/>
        <v>0</v>
      </c>
      <c r="I155" s="1076">
        <f t="shared" si="3"/>
        <v>0</v>
      </c>
      <c r="J155" s="1076"/>
      <c r="K155" s="1081"/>
      <c r="L155" s="1078">
        <f t="shared" si="4"/>
        <v>0</v>
      </c>
      <c r="M155" s="1081"/>
      <c r="N155" s="1078">
        <f t="shared" si="5"/>
        <v>0</v>
      </c>
      <c r="O155" s="1078">
        <f t="shared" si="6"/>
        <v>0</v>
      </c>
    </row>
    <row r="156" spans="2:15">
      <c r="B156" s="49" t="str">
        <f t="shared" si="10"/>
        <v/>
      </c>
      <c r="C156" s="1074" t="str">
        <f>IF(D98="","-",+C155+1)</f>
        <v>-</v>
      </c>
      <c r="D156" s="1079">
        <f t="shared" si="7"/>
        <v>0</v>
      </c>
      <c r="E156" s="1080">
        <f>IF(+I101&lt;F155,I101,D156)</f>
        <v>0</v>
      </c>
      <c r="F156" s="1079">
        <f t="shared" si="2"/>
        <v>0</v>
      </c>
      <c r="G156" s="1082">
        <f t="shared" si="8"/>
        <v>0</v>
      </c>
      <c r="H156" s="1058">
        <f t="shared" si="9"/>
        <v>0</v>
      </c>
      <c r="I156" s="1076">
        <f t="shared" si="3"/>
        <v>0</v>
      </c>
      <c r="J156" s="1076"/>
      <c r="K156" s="1081"/>
      <c r="L156" s="1078">
        <f t="shared" si="4"/>
        <v>0</v>
      </c>
      <c r="M156" s="1081"/>
      <c r="N156" s="1078">
        <f t="shared" si="5"/>
        <v>0</v>
      </c>
      <c r="O156" s="1078">
        <f t="shared" si="6"/>
        <v>0</v>
      </c>
    </row>
    <row r="157" spans="2:15">
      <c r="B157" s="49" t="str">
        <f t="shared" si="10"/>
        <v/>
      </c>
      <c r="C157" s="1074" t="str">
        <f>IF(D98="","-",+C156+1)</f>
        <v>-</v>
      </c>
      <c r="D157" s="1079">
        <f t="shared" si="7"/>
        <v>0</v>
      </c>
      <c r="E157" s="1080">
        <f>IF(+I101&lt;F156,I101,D157)</f>
        <v>0</v>
      </c>
      <c r="F157" s="1079">
        <f t="shared" si="2"/>
        <v>0</v>
      </c>
      <c r="G157" s="1082">
        <f t="shared" si="8"/>
        <v>0</v>
      </c>
      <c r="H157" s="1058">
        <f t="shared" si="9"/>
        <v>0</v>
      </c>
      <c r="I157" s="1076">
        <f t="shared" si="3"/>
        <v>0</v>
      </c>
      <c r="J157" s="1076"/>
      <c r="K157" s="1081"/>
      <c r="L157" s="1078">
        <f t="shared" si="4"/>
        <v>0</v>
      </c>
      <c r="M157" s="1081"/>
      <c r="N157" s="1078">
        <f t="shared" si="5"/>
        <v>0</v>
      </c>
      <c r="O157" s="1078">
        <f t="shared" si="6"/>
        <v>0</v>
      </c>
    </row>
    <row r="158" spans="2:15">
      <c r="B158" s="49" t="str">
        <f t="shared" si="10"/>
        <v/>
      </c>
      <c r="C158" s="1074" t="str">
        <f>IF(D98="","-",+C157+1)</f>
        <v>-</v>
      </c>
      <c r="D158" s="1079">
        <f t="shared" si="7"/>
        <v>0</v>
      </c>
      <c r="E158" s="1080">
        <f>IF(+I101&lt;F157,I101,D158)</f>
        <v>0</v>
      </c>
      <c r="F158" s="1079">
        <f t="shared" si="2"/>
        <v>0</v>
      </c>
      <c r="G158" s="1082">
        <f t="shared" si="8"/>
        <v>0</v>
      </c>
      <c r="H158" s="1058">
        <f t="shared" si="9"/>
        <v>0</v>
      </c>
      <c r="I158" s="1076">
        <f t="shared" si="3"/>
        <v>0</v>
      </c>
      <c r="J158" s="1076"/>
      <c r="K158" s="1081"/>
      <c r="L158" s="1078">
        <f t="shared" si="4"/>
        <v>0</v>
      </c>
      <c r="M158" s="1081"/>
      <c r="N158" s="1078">
        <f t="shared" si="5"/>
        <v>0</v>
      </c>
      <c r="O158" s="1078">
        <f t="shared" si="6"/>
        <v>0</v>
      </c>
    </row>
    <row r="159" spans="2:15" ht="13" thickBot="1">
      <c r="B159" s="49" t="str">
        <f t="shared" si="10"/>
        <v/>
      </c>
      <c r="C159" s="1083" t="str">
        <f>IF(D98="","-",+C158+1)</f>
        <v>-</v>
      </c>
      <c r="D159" s="1084">
        <f t="shared" si="7"/>
        <v>0</v>
      </c>
      <c r="E159" s="1085">
        <f>IF(+I101&lt;F158,I101,D159)</f>
        <v>0</v>
      </c>
      <c r="F159" s="1084">
        <f t="shared" si="2"/>
        <v>0</v>
      </c>
      <c r="G159" s="1086">
        <f t="shared" si="8"/>
        <v>0</v>
      </c>
      <c r="H159" s="1045">
        <f t="shared" si="9"/>
        <v>0</v>
      </c>
      <c r="I159" s="976">
        <f t="shared" si="3"/>
        <v>0</v>
      </c>
      <c r="J159" s="1076"/>
      <c r="K159" s="1087"/>
      <c r="L159" s="1088">
        <f t="shared" si="4"/>
        <v>0</v>
      </c>
      <c r="M159" s="1087"/>
      <c r="N159" s="1088">
        <f t="shared" si="5"/>
        <v>0</v>
      </c>
      <c r="O159" s="1088">
        <f t="shared" si="6"/>
        <v>0</v>
      </c>
    </row>
    <row r="160" spans="2:15">
      <c r="C160" s="804" t="s">
        <v>476</v>
      </c>
      <c r="D160" s="1028"/>
      <c r="E160" s="1028">
        <f>SUM(E104:E159)</f>
        <v>0</v>
      </c>
      <c r="F160" s="1028"/>
      <c r="G160" s="1028">
        <f>SUM(G104:G159)</f>
        <v>0</v>
      </c>
      <c r="H160" s="1028">
        <f>SUM(H104:H159)</f>
        <v>0</v>
      </c>
      <c r="I160" s="1028">
        <f>SUM(I104:I159)</f>
        <v>0</v>
      </c>
      <c r="J160" s="1028"/>
      <c r="K160" s="1028"/>
      <c r="L160" s="1028"/>
      <c r="M160" s="1028"/>
      <c r="N160" s="1028"/>
    </row>
    <row r="161" spans="3:16">
      <c r="H161" s="1025"/>
      <c r="I161" s="1025"/>
      <c r="J161" s="1028"/>
      <c r="K161" s="1025"/>
      <c r="L161" s="1025"/>
      <c r="M161" s="1025"/>
      <c r="N161" s="1025"/>
    </row>
    <row r="162" spans="3:16" ht="13">
      <c r="C162" s="561" t="s">
        <v>659</v>
      </c>
      <c r="H162" s="1025"/>
      <c r="I162" s="1025"/>
      <c r="J162" s="1028"/>
      <c r="K162" s="1025"/>
      <c r="L162" s="1025"/>
      <c r="M162" s="1025"/>
      <c r="N162" s="1025"/>
    </row>
    <row r="163" spans="3:16" ht="13">
      <c r="C163" s="561" t="s">
        <v>477</v>
      </c>
      <c r="H163" s="1025"/>
      <c r="I163" s="1025"/>
      <c r="J163" s="1028"/>
      <c r="K163" s="1025"/>
      <c r="L163" s="1025"/>
      <c r="M163" s="1025"/>
      <c r="N163" s="1025"/>
    </row>
    <row r="164" spans="3:16" ht="13">
      <c r="C164" s="561" t="s">
        <v>478</v>
      </c>
      <c r="D164" s="804"/>
      <c r="E164" s="804"/>
      <c r="F164" s="804"/>
      <c r="G164" s="1028"/>
      <c r="H164" s="1028"/>
      <c r="I164" s="927"/>
      <c r="J164" s="927"/>
      <c r="K164" s="927"/>
      <c r="L164" s="927"/>
      <c r="M164" s="927"/>
      <c r="N164" s="927"/>
    </row>
    <row r="165" spans="3:16" ht="13">
      <c r="C165" s="561"/>
      <c r="D165" s="804"/>
      <c r="E165" s="804"/>
      <c r="F165" s="804"/>
      <c r="G165" s="1028"/>
      <c r="H165" s="1028"/>
      <c r="I165" s="927"/>
      <c r="J165" s="927"/>
      <c r="K165" s="927"/>
      <c r="L165" s="927"/>
      <c r="M165" s="927"/>
      <c r="N165" s="927"/>
    </row>
    <row r="166" spans="3:16">
      <c r="F166" s="804"/>
      <c r="H166" s="1025"/>
      <c r="I166" s="12"/>
    </row>
    <row r="167" spans="3:16" ht="17.5">
      <c r="C167" s="922"/>
      <c r="F167" s="804"/>
      <c r="H167" s="1025"/>
      <c r="I167" s="12"/>
      <c r="P167" s="1089"/>
    </row>
  </sheetData>
  <mergeCells count="8">
    <mergeCell ref="J7:N9"/>
    <mergeCell ref="J10:N10"/>
    <mergeCell ref="J12:N14"/>
    <mergeCell ref="A2:I2"/>
    <mergeCell ref="A3:I3"/>
    <mergeCell ref="A4:I4"/>
    <mergeCell ref="A5:I5"/>
    <mergeCell ref="C7:I7"/>
  </mergeCells>
  <conditionalFormatting sqref="C104:C159">
    <cfRule type="cellIs" dxfId="8"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U166"/>
  <sheetViews>
    <sheetView topLeftCell="F21" zoomScale="81" zoomScaleNormal="81" zoomScaleSheetLayoutView="75" workbookViewId="0">
      <selection activeCell="R46" sqref="R46:R49"/>
    </sheetView>
  </sheetViews>
  <sheetFormatPr defaultColWidth="8.81640625" defaultRowHeight="12.5"/>
  <cols>
    <col min="1" max="1" width="9.453125" style="12" customWidth="1"/>
    <col min="2" max="2" width="6.54296875" style="12" customWidth="1"/>
    <col min="3" max="3" width="26.54296875" style="12" customWidth="1"/>
    <col min="4" max="4" width="17.54296875" style="49" customWidth="1"/>
    <col min="5" max="5" width="21.54296875" style="12" customWidth="1"/>
    <col min="6" max="8" width="17.54296875" style="12" customWidth="1"/>
    <col min="9" max="9" width="19.54296875" style="771" customWidth="1"/>
    <col min="10" max="10" width="20.453125" style="771" customWidth="1"/>
    <col min="11" max="11" width="13.54296875" style="771" customWidth="1"/>
    <col min="12" max="13" width="17.54296875" style="12" customWidth="1"/>
    <col min="14" max="14" width="19.453125" style="12" customWidth="1"/>
    <col min="15" max="15" width="18.453125" style="12" customWidth="1"/>
    <col min="16" max="16" width="19.54296875" style="12" customWidth="1"/>
    <col min="17" max="17" width="2.1796875" style="12" customWidth="1"/>
    <col min="18" max="18" width="16.453125" style="12" customWidth="1"/>
    <col min="19" max="19" width="57.81640625" style="12" bestFit="1" customWidth="1"/>
    <col min="20" max="20" width="17.1796875" style="12" customWidth="1"/>
    <col min="21" max="16384" width="8.81640625" style="12"/>
  </cols>
  <sheetData>
    <row r="1" spans="1:20" ht="15.5">
      <c r="A1" s="206"/>
    </row>
    <row r="2" spans="1:20" ht="17.5">
      <c r="A2" s="2290" t="str">
        <f>'PSO TCOS'!F4</f>
        <v xml:space="preserve">AEP West SPP Member Operating Companies </v>
      </c>
      <c r="B2" s="2290"/>
      <c r="C2" s="2290"/>
      <c r="D2" s="2290"/>
      <c r="E2" s="2290"/>
      <c r="F2" s="2290"/>
      <c r="G2" s="2290"/>
      <c r="H2" s="2290"/>
      <c r="I2" s="2290"/>
      <c r="J2" s="1090"/>
      <c r="K2" s="1090"/>
    </row>
    <row r="3" spans="1:20" ht="17.5">
      <c r="A3" s="2299" t="str">
        <f>+'PSO WS A-1 - Plant'!A3</f>
        <v xml:space="preserve">Actual / Projected 2024 Rate Year Cost of Service Formula Rate </v>
      </c>
      <c r="B3" s="2290"/>
      <c r="C3" s="2290"/>
      <c r="D3" s="2290"/>
      <c r="E3" s="2290"/>
      <c r="F3" s="2290"/>
      <c r="G3" s="2290"/>
      <c r="H3" s="2290"/>
      <c r="I3" s="2290"/>
      <c r="J3" s="1091"/>
      <c r="K3" s="1091"/>
    </row>
    <row r="4" spans="1:20" ht="18">
      <c r="A4" s="2290" t="s">
        <v>661</v>
      </c>
      <c r="B4" s="2290"/>
      <c r="C4" s="2290"/>
      <c r="D4" s="2290"/>
      <c r="E4" s="2290"/>
      <c r="F4" s="2290"/>
      <c r="G4" s="2290"/>
      <c r="H4" s="2290"/>
      <c r="I4" s="2290"/>
      <c r="J4" s="1091"/>
      <c r="K4" s="1091"/>
    </row>
    <row r="5" spans="1:20" ht="18">
      <c r="A5" s="2291" t="str">
        <f>+'PSO TCOS'!F8</f>
        <v>PUBLIC SERVICE COMPANY OF OKLAHOMA</v>
      </c>
      <c r="B5" s="2291"/>
      <c r="C5" s="2291"/>
      <c r="D5" s="2291"/>
      <c r="E5" s="2291"/>
      <c r="F5" s="2291"/>
      <c r="G5" s="2291"/>
      <c r="H5" s="2291"/>
      <c r="I5" s="2291"/>
      <c r="J5" s="88"/>
      <c r="K5" s="88"/>
    </row>
    <row r="7" spans="1:20" ht="35.25" customHeight="1">
      <c r="A7" s="393" t="s">
        <v>308</v>
      </c>
      <c r="B7" s="929" t="s">
        <v>310</v>
      </c>
      <c r="C7" s="2347" t="str">
        <f>"Calculate Return and Income Taxes with "&amp;F12&amp;" basis point ROE increase for Projects Qualified for Incentive."</f>
        <v>Calculate Return and Income Taxes with 0 basis point ROE increase for Projects Qualified for Incentive.</v>
      </c>
      <c r="D7" s="2288"/>
      <c r="E7" s="2288"/>
      <c r="F7" s="2288"/>
      <c r="G7" s="2288"/>
      <c r="H7" s="2288"/>
      <c r="I7" s="2288"/>
      <c r="J7" s="930"/>
      <c r="K7" s="930"/>
      <c r="L7" s="2293" t="s">
        <v>430</v>
      </c>
      <c r="M7" s="2293"/>
      <c r="N7" s="2293"/>
      <c r="O7" s="2293"/>
      <c r="P7" s="2293"/>
      <c r="R7" s="928" t="s">
        <v>499</v>
      </c>
    </row>
    <row r="8" spans="1:20" ht="15.75" customHeight="1">
      <c r="A8" s="393" t="s">
        <v>246</v>
      </c>
      <c r="C8" s="930"/>
      <c r="D8" s="930"/>
      <c r="E8" s="930"/>
      <c r="F8" s="930"/>
      <c r="G8" s="930"/>
      <c r="H8" s="930"/>
      <c r="I8" s="930"/>
      <c r="J8" s="930"/>
      <c r="K8" s="930"/>
      <c r="L8" s="2293"/>
      <c r="M8" s="2293"/>
      <c r="N8" s="2293"/>
      <c r="O8" s="2293"/>
      <c r="P8" s="2293"/>
    </row>
    <row r="9" spans="1:20" ht="15.5">
      <c r="C9" s="931" t="str">
        <f>"A.   Determine 'R' with hypothetical "&amp;F12&amp;" basis point increase in ROE for Identified Projects"</f>
        <v>A.   Determine 'R' with hypothetical 0 basis point increase in ROE for Identified Projects</v>
      </c>
      <c r="L9" s="2293"/>
      <c r="M9" s="2293"/>
      <c r="N9" s="2293"/>
      <c r="O9" s="2293"/>
      <c r="P9" s="2293"/>
      <c r="S9" s="12" t="s">
        <v>166</v>
      </c>
    </row>
    <row r="10" spans="1:20" ht="18" customHeight="1">
      <c r="L10" s="2293"/>
      <c r="M10" s="2293"/>
      <c r="N10" s="2293"/>
      <c r="O10" s="2293"/>
      <c r="P10" s="2293"/>
      <c r="R10" s="932" t="s">
        <v>160</v>
      </c>
      <c r="S10" s="928" t="s">
        <v>339</v>
      </c>
    </row>
    <row r="11" spans="1:20" ht="13.5" thickBot="1">
      <c r="A11" s="49">
        <v>1</v>
      </c>
      <c r="C11" s="179" t="str">
        <f>"   ROE w/o incentives  (TCOS, ln "&amp;'PSO TCOS'!B237&amp;")"</f>
        <v xml:space="preserve">   ROE w/o incentives  (TCOS, ln 143)</v>
      </c>
      <c r="E11" s="933"/>
      <c r="F11" s="934">
        <f>+'PSO TCOS'!J237</f>
        <v>0.105</v>
      </c>
      <c r="G11" s="934"/>
      <c r="H11" s="935"/>
      <c r="I11" s="936"/>
      <c r="J11" s="936"/>
      <c r="K11" s="936"/>
      <c r="L11" s="930"/>
      <c r="M11" s="930"/>
      <c r="N11" s="930"/>
      <c r="O11" s="930"/>
      <c r="P11" s="930"/>
      <c r="Q11" s="937"/>
      <c r="R11" s="928" t="s">
        <v>433</v>
      </c>
      <c r="T11" s="561"/>
    </row>
    <row r="12" spans="1:20" ht="14">
      <c r="A12" s="49">
        <f>+A11+1</f>
        <v>2</v>
      </c>
      <c r="C12" s="179" t="s">
        <v>148</v>
      </c>
      <c r="E12" s="933"/>
      <c r="F12" s="940">
        <v>0</v>
      </c>
      <c r="G12" s="941" t="s">
        <v>338</v>
      </c>
      <c r="I12" s="12"/>
      <c r="J12" s="12"/>
      <c r="K12" s="12"/>
      <c r="L12" s="937"/>
      <c r="M12" s="937"/>
      <c r="N12" s="937"/>
      <c r="O12" s="937"/>
      <c r="P12" s="937"/>
      <c r="Q12" s="937"/>
      <c r="R12" s="938" t="s">
        <v>497</v>
      </c>
      <c r="S12" s="939" t="s">
        <v>87</v>
      </c>
      <c r="T12"/>
    </row>
    <row r="13" spans="1:20" ht="13.5" thickBot="1">
      <c r="A13" s="49">
        <f>+A12+1</f>
        <v>3</v>
      </c>
      <c r="C13" s="179" t="str">
        <f>"   ROE with additional "&amp;F12&amp;" basis point incentive"</f>
        <v xml:space="preserve">   ROE with additional 0 basis point incentive</v>
      </c>
      <c r="D13" s="933"/>
      <c r="E13" s="933"/>
      <c r="F13" s="943">
        <f>IF((F11+(F12/10000)&gt;0.1245),"ERROR",F11+(F12/10000))</f>
        <v>0.105</v>
      </c>
      <c r="G13" s="944" t="s">
        <v>660</v>
      </c>
      <c r="I13" s="937"/>
      <c r="J13" s="937"/>
      <c r="K13" s="937"/>
      <c r="Q13" s="937"/>
      <c r="R13" s="1092">
        <f>+M17</f>
        <v>2024</v>
      </c>
      <c r="S13" s="942" t="s">
        <v>127</v>
      </c>
      <c r="T13"/>
    </row>
    <row r="14" spans="1:20">
      <c r="A14" s="49">
        <f t="shared" ref="A14:A46" si="0">+A13+1</f>
        <v>4</v>
      </c>
      <c r="C14" s="946" t="str">
        <f>"   Determine R  (cost of long term debt, cost of preferred stock and percent is from TCOS, lns "&amp;'PSO TCOS'!B235&amp;" through "&amp;'PSO TCOS'!B237&amp;")"</f>
        <v xml:space="preserve">   Determine R  (cost of long term debt, cost of preferred stock and percent is from TCOS, lns 141 through 143)</v>
      </c>
      <c r="E14" s="933"/>
      <c r="F14" s="943"/>
      <c r="G14" s="943"/>
      <c r="H14" s="933"/>
      <c r="I14" s="937"/>
      <c r="J14" s="937"/>
      <c r="K14" s="937"/>
      <c r="L14" s="2348" t="s">
        <v>385</v>
      </c>
      <c r="M14" s="2349"/>
      <c r="N14" s="2349"/>
      <c r="O14" s="2349"/>
      <c r="P14" s="2350"/>
      <c r="Q14" s="937"/>
      <c r="R14" s="1093">
        <f>+F11</f>
        <v>0.105</v>
      </c>
      <c r="S14" s="942" t="str">
        <f>+C11</f>
        <v xml:space="preserve">   ROE w/o incentives  (TCOS, ln 143)</v>
      </c>
      <c r="T14"/>
    </row>
    <row r="15" spans="1:20" ht="16.5" customHeight="1">
      <c r="A15" s="49">
        <f t="shared" si="0"/>
        <v>5</v>
      </c>
      <c r="C15" s="937"/>
      <c r="D15" s="948" t="s">
        <v>285</v>
      </c>
      <c r="E15" s="948" t="s">
        <v>284</v>
      </c>
      <c r="F15" s="949" t="s">
        <v>370</v>
      </c>
      <c r="G15" s="949"/>
      <c r="H15" s="933"/>
      <c r="I15" s="937"/>
      <c r="J15" s="937"/>
      <c r="K15" s="937"/>
      <c r="L15" s="2351"/>
      <c r="M15" s="2352"/>
      <c r="N15" s="2352"/>
      <c r="O15" s="2352"/>
      <c r="P15" s="2353"/>
      <c r="Q15" s="937"/>
      <c r="R15" s="947">
        <v>0</v>
      </c>
      <c r="S15" s="942" t="str">
        <f>+C12</f>
        <v xml:space="preserve">   Project ROE Incentive Adder (Enter as whole number)</v>
      </c>
      <c r="T15"/>
    </row>
    <row r="16" spans="1:20">
      <c r="A16" s="49">
        <f t="shared" si="0"/>
        <v>6</v>
      </c>
      <c r="C16" s="955" t="s">
        <v>373</v>
      </c>
      <c r="D16" s="956">
        <f>'PSO TCOS'!G235</f>
        <v>0.48032000660675805</v>
      </c>
      <c r="E16" s="957">
        <f>+'PSO TCOS'!J235</f>
        <v>4.2750444469652191E-2</v>
      </c>
      <c r="F16" s="958">
        <f>E16*D16</f>
        <v>2.0533893770105182E-2</v>
      </c>
      <c r="G16" s="959"/>
      <c r="H16" s="933"/>
      <c r="I16" s="937"/>
      <c r="J16" s="937"/>
      <c r="K16" s="937"/>
      <c r="L16" s="964"/>
      <c r="M16" s="937"/>
      <c r="N16" s="937" t="s">
        <v>371</v>
      </c>
      <c r="O16" s="937" t="s">
        <v>432</v>
      </c>
      <c r="P16" s="966" t="s">
        <v>372</v>
      </c>
      <c r="Q16" s="962"/>
      <c r="R16" s="1093">
        <f>+D16</f>
        <v>0.48032000660675805</v>
      </c>
      <c r="S16" s="954" t="str">
        <f>+C16&amp;" "&amp;D15</f>
        <v>Long Term Debt %</v>
      </c>
      <c r="T16"/>
    </row>
    <row r="17" spans="1:21">
      <c r="A17" s="49">
        <f t="shared" si="0"/>
        <v>7</v>
      </c>
      <c r="C17" s="955" t="s">
        <v>374</v>
      </c>
      <c r="D17" s="956">
        <f>'PSO TCOS'!G236</f>
        <v>0</v>
      </c>
      <c r="E17" s="957">
        <f>+'PSO TCOS'!J236</f>
        <v>0</v>
      </c>
      <c r="F17" s="958">
        <f>E17*D17</f>
        <v>0</v>
      </c>
      <c r="G17" s="959"/>
      <c r="H17" s="963"/>
      <c r="I17" s="963"/>
      <c r="J17" s="963"/>
      <c r="K17" s="963"/>
      <c r="L17" s="964" t="s">
        <v>425</v>
      </c>
      <c r="M17" s="1094">
        <v>2024</v>
      </c>
      <c r="P17" s="942"/>
      <c r="Q17" s="967"/>
      <c r="R17" s="1095">
        <f>+E16</f>
        <v>4.2750444469652191E-2</v>
      </c>
      <c r="S17" s="954" t="str">
        <f>C16&amp;" "&amp;E15</f>
        <v>Long Term Debt Cost</v>
      </c>
      <c r="T17"/>
    </row>
    <row r="18" spans="1:21">
      <c r="A18" s="49">
        <f t="shared" si="0"/>
        <v>8</v>
      </c>
      <c r="C18" s="955" t="s">
        <v>366</v>
      </c>
      <c r="D18" s="956">
        <f>'PSO TCOS'!G237</f>
        <v>0.51967999339324189</v>
      </c>
      <c r="E18" s="957">
        <f>+F13</f>
        <v>0.105</v>
      </c>
      <c r="F18" s="968">
        <f>E18*D18</f>
        <v>5.4566399306290397E-2</v>
      </c>
      <c r="G18" s="969"/>
      <c r="H18" s="963"/>
      <c r="I18" s="963"/>
      <c r="J18" s="963"/>
      <c r="K18" s="963"/>
      <c r="L18" s="1096" t="s">
        <v>426</v>
      </c>
      <c r="M18" s="1097"/>
      <c r="N18" s="927">
        <f>+R46</f>
        <v>8557318.5351672061</v>
      </c>
      <c r="O18" s="927">
        <f>+R47</f>
        <v>8557318.5351672061</v>
      </c>
      <c r="P18" s="1076">
        <f>+O18-N18</f>
        <v>0</v>
      </c>
      <c r="Q18" s="967"/>
      <c r="R18" s="1093">
        <f>+D17</f>
        <v>0</v>
      </c>
      <c r="S18" s="954" t="str">
        <f>C17&amp;" "&amp;D15</f>
        <v>Preferred Stock %</v>
      </c>
      <c r="T18"/>
    </row>
    <row r="19" spans="1:21">
      <c r="A19" s="49">
        <f t="shared" si="0"/>
        <v>9</v>
      </c>
      <c r="C19" s="179"/>
      <c r="D19" s="933"/>
      <c r="E19" s="971" t="s">
        <v>375</v>
      </c>
      <c r="F19" s="958">
        <f>SUM(F16:F18)</f>
        <v>7.5100293076395583E-2</v>
      </c>
      <c r="G19" s="959"/>
      <c r="H19" s="972"/>
      <c r="I19" s="963"/>
      <c r="J19" s="963"/>
      <c r="K19" s="963"/>
      <c r="L19" s="1098" t="s">
        <v>431</v>
      </c>
      <c r="M19" s="1099"/>
      <c r="N19" s="927">
        <f>+R48</f>
        <v>10194766.21853902</v>
      </c>
      <c r="O19" s="927">
        <f>+R49</f>
        <v>10194766.21853902</v>
      </c>
      <c r="P19" s="1076">
        <f>+O19-N19</f>
        <v>0</v>
      </c>
      <c r="Q19" s="967"/>
      <c r="R19" s="1095">
        <f>+E17</f>
        <v>0</v>
      </c>
      <c r="S19" s="954" t="str">
        <f>C17&amp;" "&amp;E15</f>
        <v>Preferred Stock Cost</v>
      </c>
      <c r="T19"/>
    </row>
    <row r="20" spans="1:21" ht="13" thickBot="1">
      <c r="A20" s="49"/>
      <c r="D20" s="978"/>
      <c r="E20" s="978"/>
      <c r="F20" s="963"/>
      <c r="G20" s="963"/>
      <c r="H20" s="963"/>
      <c r="I20" s="963"/>
      <c r="J20" s="963"/>
      <c r="K20" s="963"/>
      <c r="L20" s="1100" t="str">
        <f>"True-up Adjustment For "&amp;M17&amp;""</f>
        <v>True-up Adjustment For 2024</v>
      </c>
      <c r="M20" s="1101"/>
      <c r="N20" s="1102">
        <f>+N19-N18</f>
        <v>1637447.683371814</v>
      </c>
      <c r="O20" s="1102">
        <f>+O19-O18</f>
        <v>1637447.683371814</v>
      </c>
      <c r="P20" s="1103">
        <f>+P19-P18</f>
        <v>0</v>
      </c>
      <c r="Q20" s="963"/>
      <c r="R20" s="1093">
        <f>+D18</f>
        <v>0.51967999339324189</v>
      </c>
      <c r="S20" s="977" t="str">
        <f>C18&amp;" "&amp;D15</f>
        <v>Common Stock %</v>
      </c>
      <c r="T20"/>
    </row>
    <row r="21" spans="1:21" ht="15.5">
      <c r="A21" s="49"/>
      <c r="C21" s="931" t="str">
        <f>"B.   Determine Return using 'R' with hypothetical "&amp;F12&amp;" basis point ROE increase for Identified Projects."</f>
        <v>B.   Determine Return using 'R' with hypothetical 0 basis point ROE increase for Identified Projects.</v>
      </c>
      <c r="D21" s="978"/>
      <c r="E21" s="978"/>
      <c r="F21" s="963"/>
      <c r="G21" s="963"/>
      <c r="H21" s="963"/>
      <c r="I21" s="933"/>
      <c r="J21" s="933"/>
      <c r="K21" s="933"/>
      <c r="L21" s="962"/>
      <c r="M21" s="965"/>
      <c r="N21" s="1104"/>
      <c r="O21" s="1104"/>
      <c r="P21" s="927"/>
      <c r="Q21" s="963"/>
      <c r="R21" s="984">
        <f>+E23</f>
        <v>687940507.97900021</v>
      </c>
      <c r="S21" s="981" t="str">
        <f>C23</f>
        <v xml:space="preserve">   Rate Base  (TCOS, ln 63)</v>
      </c>
      <c r="T21"/>
    </row>
    <row r="22" spans="1:21">
      <c r="A22" s="49"/>
      <c r="C22" s="937"/>
      <c r="D22" s="978"/>
      <c r="E22" s="978"/>
      <c r="F22" s="963"/>
      <c r="G22" s="963"/>
      <c r="H22" s="963"/>
      <c r="I22" s="963"/>
      <c r="J22" s="963"/>
      <c r="K22" s="963"/>
      <c r="L22" s="963"/>
      <c r="M22" s="963"/>
      <c r="N22" s="963"/>
      <c r="O22" s="963"/>
      <c r="P22" s="963"/>
      <c r="Q22" s="963"/>
      <c r="R22" s="983">
        <f>+F30</f>
        <v>0.24025699999999994</v>
      </c>
      <c r="S22" s="942" t="str">
        <f>+C30</f>
        <v xml:space="preserve">   Tax Rate  (TCOS, ln 99)</v>
      </c>
      <c r="T22"/>
    </row>
    <row r="23" spans="1:21" ht="13">
      <c r="A23" s="49">
        <f>+A19+1</f>
        <v>10</v>
      </c>
      <c r="C23" s="179" t="str">
        <f>"   Rate Base  (TCOS, ln "&amp;'PSO TCOS'!B113&amp;")"</f>
        <v xml:space="preserve">   Rate Base  (TCOS, ln 63)</v>
      </c>
      <c r="D23" s="933"/>
      <c r="E23" s="985">
        <f>+'PSO TCOS'!L113</f>
        <v>687940507.97900021</v>
      </c>
      <c r="F23" s="986"/>
      <c r="G23" s="986"/>
      <c r="H23" s="963"/>
      <c r="I23" s="963"/>
      <c r="J23" s="963"/>
      <c r="K23" s="963"/>
      <c r="L23" s="561"/>
      <c r="M23" s="963"/>
      <c r="N23" s="963"/>
      <c r="O23" s="963"/>
      <c r="P23" s="963"/>
      <c r="Q23" s="963"/>
      <c r="R23" s="984">
        <f>+F33</f>
        <v>171132.45451701357</v>
      </c>
      <c r="S23" s="942" t="str">
        <f>+C33</f>
        <v xml:space="preserve">   ITC Adjustment  (TCOS, ln 108)</v>
      </c>
      <c r="T23"/>
    </row>
    <row r="24" spans="1:21">
      <c r="A24" s="49">
        <f t="shared" si="0"/>
        <v>11</v>
      </c>
      <c r="C24" s="937" t="s">
        <v>344</v>
      </c>
      <c r="D24" s="935"/>
      <c r="E24" s="987">
        <f>F19</f>
        <v>7.5100293076395583E-2</v>
      </c>
      <c r="F24" s="963"/>
      <c r="G24" s="963"/>
      <c r="H24" s="963"/>
      <c r="I24" s="963"/>
      <c r="J24" s="963"/>
      <c r="K24" s="963"/>
      <c r="M24" s="963"/>
      <c r="N24" s="963"/>
      <c r="O24" s="963"/>
      <c r="P24" s="986"/>
      <c r="Q24" s="963"/>
      <c r="R24" s="984">
        <f>+F34</f>
        <v>-1451892.2478111866</v>
      </c>
      <c r="S24" s="942" t="str">
        <f>+C34</f>
        <v xml:space="preserve">   Excess DFIT Adjustment  (TCOS, ln 109)</v>
      </c>
      <c r="T24"/>
    </row>
    <row r="25" spans="1:21">
      <c r="A25" s="49">
        <f t="shared" si="0"/>
        <v>12</v>
      </c>
      <c r="C25" s="988" t="s">
        <v>376</v>
      </c>
      <c r="D25" s="988"/>
      <c r="E25" s="967">
        <f>E23*E24</f>
        <v>51664533.768347368</v>
      </c>
      <c r="F25" s="963"/>
      <c r="G25" s="963"/>
      <c r="H25" s="963"/>
      <c r="I25" s="963"/>
      <c r="J25" s="963"/>
      <c r="K25" s="963"/>
      <c r="L25" s="967"/>
      <c r="M25" s="967"/>
      <c r="N25" s="967"/>
      <c r="O25" s="967"/>
      <c r="P25" s="963"/>
      <c r="Q25" s="967"/>
      <c r="R25" s="984">
        <f>+F35</f>
        <v>100629.70641072042</v>
      </c>
      <c r="S25" s="942" t="str">
        <f>+C35</f>
        <v xml:space="preserve">   Tax Effect of Permanent and Flow Through Differences (TCOS, ln 110)</v>
      </c>
      <c r="T25"/>
    </row>
    <row r="26" spans="1:21">
      <c r="A26" s="49"/>
      <c r="C26" s="988"/>
      <c r="D26" s="937"/>
      <c r="E26" s="937"/>
      <c r="F26" s="963"/>
      <c r="G26" s="963"/>
      <c r="H26" s="963"/>
      <c r="I26" s="963"/>
      <c r="J26" s="963"/>
      <c r="K26" s="963"/>
      <c r="Q26" s="967"/>
      <c r="R26" s="984">
        <f>+F42</f>
        <v>134973025.19654</v>
      </c>
      <c r="S26" s="942" t="str">
        <f>+C42</f>
        <v xml:space="preserve">   Net Revenue Requirement  (TCOS, ln 117)</v>
      </c>
      <c r="T26"/>
    </row>
    <row r="27" spans="1:21" ht="15.5">
      <c r="A27" s="49"/>
      <c r="C27" s="931" t="str">
        <f>"C.   Determine Income Taxes using Return with hypothetical "&amp;F12&amp;" basis point ROE increase for Identified Projects."</f>
        <v>C.   Determine Income Taxes using Return with hypothetical 0 basis point ROE increase for Identified Projects.</v>
      </c>
      <c r="D27" s="993"/>
      <c r="E27" s="993"/>
      <c r="F27" s="994"/>
      <c r="G27" s="994"/>
      <c r="H27" s="994"/>
      <c r="I27" s="994"/>
      <c r="J27" s="994"/>
      <c r="K27" s="994"/>
      <c r="Q27" s="997"/>
      <c r="R27" s="984">
        <f>+F43</f>
        <v>51664533.768347368</v>
      </c>
      <c r="S27" s="942" t="str">
        <f>+C43</f>
        <v xml:space="preserve">   Return  (TCOS, ln 112)</v>
      </c>
      <c r="T27"/>
    </row>
    <row r="28" spans="1:21" ht="14.25" customHeight="1">
      <c r="A28" s="49"/>
      <c r="C28" s="179"/>
      <c r="D28" s="937"/>
      <c r="E28" s="937"/>
      <c r="F28" s="963"/>
      <c r="G28" s="963"/>
      <c r="H28" s="963"/>
      <c r="I28" s="963"/>
      <c r="J28" s="963"/>
      <c r="K28" s="963"/>
      <c r="Q28" s="967"/>
      <c r="R28" s="984">
        <f>+F44</f>
        <v>10690821.179445541</v>
      </c>
      <c r="S28" s="942" t="str">
        <f>+C44</f>
        <v xml:space="preserve">   Income Taxes  (TCOS, ln 111)</v>
      </c>
      <c r="T28"/>
      <c r="U28" s="561"/>
    </row>
    <row r="29" spans="1:21" ht="19.5" customHeight="1">
      <c r="A29" s="49">
        <f>+A25+1</f>
        <v>13</v>
      </c>
      <c r="C29" s="937" t="s">
        <v>377</v>
      </c>
      <c r="D29" s="971"/>
      <c r="F29" s="986">
        <f>E25</f>
        <v>51664533.768347368</v>
      </c>
      <c r="G29" s="963"/>
      <c r="H29" s="963"/>
      <c r="I29" s="963"/>
      <c r="J29" s="963"/>
      <c r="K29" s="963"/>
      <c r="L29" s="989" t="s">
        <v>128</v>
      </c>
      <c r="M29" s="990" t="s">
        <v>439</v>
      </c>
      <c r="N29" s="991"/>
      <c r="O29" s="991"/>
      <c r="P29" s="1032"/>
      <c r="Q29" s="963"/>
      <c r="R29" s="984">
        <f>+F45</f>
        <v>0</v>
      </c>
      <c r="S29" s="942" t="str">
        <f>+C45</f>
        <v xml:space="preserve">  Gross Margin Taxes  (TCOS, ln 116)</v>
      </c>
      <c r="T29"/>
    </row>
    <row r="30" spans="1:21" ht="18">
      <c r="A30" s="49">
        <f t="shared" si="0"/>
        <v>14</v>
      </c>
      <c r="C30" s="179" t="str">
        <f>"   Tax Rate  (TCOS, ln "&amp;'PSO TCOS'!B168&amp;")"</f>
        <v xml:space="preserve">   Tax Rate  (TCOS, ln 99)</v>
      </c>
      <c r="D30" s="971"/>
      <c r="F30" s="945">
        <f>+'PSO TCOS'!G168</f>
        <v>0.24025699999999994</v>
      </c>
      <c r="G30" s="963"/>
      <c r="H30" s="963"/>
      <c r="I30" s="963"/>
      <c r="J30" s="963"/>
      <c r="K30" s="963"/>
      <c r="L30" s="967"/>
      <c r="M30" s="995" t="s">
        <v>427</v>
      </c>
      <c r="N30" s="996"/>
      <c r="O30" s="996"/>
      <c r="P30" s="1032"/>
      <c r="Q30" s="963"/>
      <c r="R30" s="984">
        <f>+F55</f>
        <v>27491329.543581594</v>
      </c>
      <c r="S30" s="942" t="str">
        <f>+C55</f>
        <v xml:space="preserve">   Less: Depreciation  (TCOS, ln 86)</v>
      </c>
      <c r="T30"/>
    </row>
    <row r="31" spans="1:21">
      <c r="A31" s="49">
        <f t="shared" si="0"/>
        <v>15</v>
      </c>
      <c r="C31" s="937" t="s">
        <v>199</v>
      </c>
      <c r="F31" s="943">
        <f>IF(F16&gt;0,($F30/(1-$F30))*(1-$F16/$F19),0)</f>
        <v>0.22976983242616258</v>
      </c>
      <c r="R31" s="983">
        <f>+F61</f>
        <v>0</v>
      </c>
      <c r="S31" s="942" t="str">
        <f>+C61</f>
        <v xml:space="preserve">       Apportionment Factor to Texas (Worksheet K, ln 12)</v>
      </c>
      <c r="T31"/>
    </row>
    <row r="32" spans="1:21">
      <c r="A32" s="49">
        <f t="shared" si="0"/>
        <v>16</v>
      </c>
      <c r="C32" s="988" t="s">
        <v>200</v>
      </c>
      <c r="F32" s="998">
        <f>F29*F31</f>
        <v>11870951.266328992</v>
      </c>
      <c r="R32" s="984">
        <f>+F71</f>
        <v>800198988.26538479</v>
      </c>
      <c r="S32" s="942" t="str">
        <f>+C71</f>
        <v xml:space="preserve">   Net Transmission Plant  (TCOS, ln 37)</v>
      </c>
      <c r="T32"/>
    </row>
    <row r="33" spans="1:21" ht="15.5">
      <c r="A33" s="49">
        <f t="shared" si="0"/>
        <v>17</v>
      </c>
      <c r="C33" s="179" t="str">
        <f>"   ITC Adjustment  (TCOS, ln "&amp;'PSO TCOS'!B178&amp;")"</f>
        <v xml:space="preserve">   ITC Adjustment  (TCOS, ln 108)</v>
      </c>
      <c r="D33" s="570"/>
      <c r="F33" s="963">
        <f>+'PSO TCOS'!L178</f>
        <v>171132.45451701357</v>
      </c>
      <c r="G33" s="570"/>
      <c r="H33" s="570"/>
      <c r="I33" s="570"/>
      <c r="J33" s="570"/>
      <c r="K33" s="570"/>
      <c r="Q33" s="570"/>
      <c r="R33" s="983">
        <f>+F77</f>
        <v>0.13431870975736884</v>
      </c>
      <c r="S33" s="1105" t="str">
        <f>+C77</f>
        <v xml:space="preserve">   FCR less Depreciation  (TCOS, ln 10)</v>
      </c>
      <c r="T33"/>
      <c r="U33" s="561"/>
    </row>
    <row r="34" spans="1:21" ht="15.5">
      <c r="A34" s="49">
        <f t="shared" si="0"/>
        <v>18</v>
      </c>
      <c r="C34" s="179" t="str">
        <f>"   Excess DFIT Adjustment  (TCOS, ln "&amp;'PSO TCOS'!B179&amp;")"</f>
        <v xml:space="preserve">   Excess DFIT Adjustment  (TCOS, ln 109)</v>
      </c>
      <c r="D34" s="570"/>
      <c r="F34" s="963">
        <f>+'PSO TCOS'!L179</f>
        <v>-1451892.2478111866</v>
      </c>
      <c r="G34" s="570"/>
      <c r="H34" s="570"/>
      <c r="I34" s="570"/>
      <c r="J34" s="570"/>
      <c r="K34" s="570"/>
      <c r="Q34" s="570"/>
      <c r="R34" s="1106">
        <f>+F81</f>
        <v>1264681127.2407694</v>
      </c>
      <c r="S34" s="1107" t="str">
        <f>+C81</f>
        <v>Transmission Plant Average Balance for 2024 (WS A-1 Ln 14 Col (d))</v>
      </c>
      <c r="T34"/>
      <c r="U34" s="561"/>
    </row>
    <row r="35" spans="1:21" ht="16" thickBot="1">
      <c r="A35" s="49">
        <f t="shared" si="0"/>
        <v>19</v>
      </c>
      <c r="C35" s="179" t="str">
        <f>"   Tax Effect of Permanent and Flow Through Differences (TCOS, ln "&amp;'PSO TCOS'!B180&amp;")"</f>
        <v xml:space="preserve">   Tax Effect of Permanent and Flow Through Differences (TCOS, ln 110)</v>
      </c>
      <c r="D35" s="570"/>
      <c r="F35" s="963">
        <f>+'PSO TCOS'!L180</f>
        <v>100629.70641072042</v>
      </c>
      <c r="G35" s="570"/>
      <c r="H35" s="570"/>
      <c r="I35" s="570"/>
      <c r="J35" s="570"/>
      <c r="K35" s="570"/>
      <c r="Q35" s="570"/>
      <c r="R35" s="1108">
        <f>+F82</f>
        <v>34344533</v>
      </c>
      <c r="S35" s="1109" t="str">
        <f>+C82</f>
        <v>Annual Depreciation Expense  (TCOS, ln 86)</v>
      </c>
      <c r="T35"/>
      <c r="U35" s="561"/>
    </row>
    <row r="36" spans="1:21" ht="15.5">
      <c r="A36" s="49">
        <f t="shared" si="0"/>
        <v>20</v>
      </c>
      <c r="C36" s="988" t="s">
        <v>378</v>
      </c>
      <c r="D36" s="570"/>
      <c r="F36" s="1003">
        <f>+SUM(F32:F35)</f>
        <v>10690821.179445541</v>
      </c>
      <c r="G36" s="570"/>
      <c r="H36" s="570"/>
      <c r="I36" s="570"/>
      <c r="J36" s="570"/>
      <c r="K36" s="570"/>
      <c r="L36" s="979"/>
      <c r="M36" s="979"/>
      <c r="N36" s="979"/>
      <c r="O36" s="979"/>
      <c r="P36" s="979"/>
      <c r="Q36" s="570"/>
      <c r="R36" s="804"/>
      <c r="T36"/>
    </row>
    <row r="37" spans="1:21" ht="12.75" customHeight="1">
      <c r="A37" s="49"/>
      <c r="C37" s="495"/>
      <c r="D37" s="570"/>
      <c r="E37" s="570"/>
      <c r="F37" s="570"/>
      <c r="G37" s="570"/>
      <c r="H37" s="570"/>
      <c r="I37" s="570"/>
      <c r="J37" s="570"/>
      <c r="K37" s="570"/>
      <c r="L37" s="979"/>
      <c r="M37" s="979"/>
      <c r="N37" s="979"/>
      <c r="O37" s="979"/>
      <c r="P37" s="979"/>
      <c r="Q37" s="570"/>
      <c r="T37"/>
    </row>
    <row r="38" spans="1:21" ht="18">
      <c r="A38" s="49"/>
      <c r="B38" s="929" t="s">
        <v>311</v>
      </c>
      <c r="C38" s="35" t="str">
        <f>"Calculate Net Plant Carrying Charge Rate (Fixed Charge Rate or FCR) with hypothetical "&amp;F12&amp;" basis point"</f>
        <v>Calculate Net Plant Carrying Charge Rate (Fixed Charge Rate or FCR) with hypothetical 0 basis point</v>
      </c>
      <c r="D38" s="570"/>
      <c r="E38" s="570"/>
      <c r="F38" s="570"/>
      <c r="G38" s="570"/>
      <c r="H38" s="570"/>
      <c r="I38" s="570"/>
      <c r="J38" s="570"/>
      <c r="K38" s="570"/>
      <c r="L38" s="979"/>
      <c r="M38" s="979"/>
      <c r="N38" s="979"/>
      <c r="O38" s="979"/>
      <c r="P38" s="979"/>
      <c r="Q38" s="570"/>
      <c r="T38"/>
    </row>
    <row r="39" spans="1:21" ht="18.75" customHeight="1">
      <c r="A39" s="49"/>
      <c r="B39" s="929"/>
      <c r="C39" s="35" t="str">
        <f>"ROE increase."</f>
        <v>ROE increase.</v>
      </c>
      <c r="D39" s="570"/>
      <c r="E39" s="570"/>
      <c r="F39" s="570"/>
      <c r="G39" s="570"/>
      <c r="H39" s="570"/>
      <c r="I39" s="570"/>
      <c r="J39" s="570"/>
      <c r="K39" s="570"/>
      <c r="L39" s="570"/>
      <c r="M39" s="570"/>
      <c r="N39" s="570"/>
      <c r="O39" s="570"/>
      <c r="P39" s="582"/>
      <c r="Q39" s="570"/>
      <c r="R39" s="561" t="s">
        <v>167</v>
      </c>
      <c r="S39" s="928" t="s">
        <v>434</v>
      </c>
    </row>
    <row r="40" spans="1:21" ht="12.75" customHeight="1">
      <c r="A40" s="49"/>
      <c r="C40" s="495"/>
      <c r="D40" s="570"/>
      <c r="E40" s="570"/>
      <c r="F40" s="570"/>
      <c r="G40" s="570"/>
      <c r="H40" s="570"/>
      <c r="I40" s="570"/>
      <c r="J40" s="570"/>
      <c r="K40" s="570"/>
      <c r="P40" s="582"/>
      <c r="Q40" s="570"/>
    </row>
    <row r="41" spans="1:21" ht="15.5">
      <c r="A41" s="49"/>
      <c r="C41" s="931" t="s">
        <v>149</v>
      </c>
      <c r="D41" s="570"/>
      <c r="E41" s="570"/>
      <c r="F41" s="495"/>
      <c r="G41" s="495"/>
      <c r="H41" s="570"/>
      <c r="I41" s="570"/>
      <c r="J41" s="570"/>
      <c r="K41" s="570"/>
      <c r="P41" s="582"/>
      <c r="Q41" s="570"/>
      <c r="R41" s="928" t="s">
        <v>168</v>
      </c>
      <c r="S41" s="928" t="s">
        <v>434</v>
      </c>
    </row>
    <row r="42" spans="1:21" ht="12.75" customHeight="1">
      <c r="A42" s="49">
        <f>+A36+1</f>
        <v>21</v>
      </c>
      <c r="C42" s="179" t="str">
        <f>"   Net Revenue Requirement  (TCOS, ln "&amp;'PSO TCOS'!B193&amp;")"</f>
        <v xml:space="preserve">   Net Revenue Requirement  (TCOS, ln 117)</v>
      </c>
      <c r="D42" s="933"/>
      <c r="E42" s="933"/>
      <c r="F42" s="963">
        <f>+'PSO TCOS'!L193</f>
        <v>134973025.19654</v>
      </c>
      <c r="G42" s="963"/>
      <c r="H42" s="933"/>
      <c r="I42" s="933"/>
      <c r="J42" s="933"/>
      <c r="K42" s="933"/>
      <c r="L42" s="933"/>
      <c r="M42" s="933"/>
      <c r="N42" s="933"/>
      <c r="O42" s="933"/>
      <c r="P42" s="963"/>
      <c r="Q42" s="933"/>
      <c r="R42" s="928"/>
      <c r="S42" s="561"/>
    </row>
    <row r="43" spans="1:21" ht="13">
      <c r="A43" s="49">
        <f t="shared" si="0"/>
        <v>22</v>
      </c>
      <c r="C43" s="179" t="str">
        <f>"   Return  (TCOS, ln "&amp;'PSO TCOS'!B184&amp;")"</f>
        <v xml:space="preserve">   Return  (TCOS, ln 112)</v>
      </c>
      <c r="D43" s="933"/>
      <c r="E43" s="933"/>
      <c r="F43" s="967">
        <f>+'PSO TCOS'!L184</f>
        <v>51664533.768347368</v>
      </c>
      <c r="G43" s="967"/>
      <c r="H43" s="179"/>
      <c r="I43" s="179"/>
      <c r="J43" s="179"/>
      <c r="K43" s="179"/>
      <c r="L43" s="179"/>
      <c r="M43" s="179"/>
      <c r="N43" s="179"/>
      <c r="O43" s="179"/>
      <c r="P43" s="963"/>
      <c r="Q43" s="179"/>
      <c r="R43" s="928"/>
      <c r="S43" s="561"/>
    </row>
    <row r="44" spans="1:21" ht="13">
      <c r="A44" s="49">
        <f t="shared" si="0"/>
        <v>23</v>
      </c>
      <c r="C44" s="179" t="str">
        <f>"   Income Taxes  (TCOS, ln "&amp;'PSO TCOS'!B182&amp;")"</f>
        <v xml:space="preserve">   Income Taxes  (TCOS, ln 111)</v>
      </c>
      <c r="D44" s="933"/>
      <c r="E44" s="933"/>
      <c r="F44" s="963">
        <f>+'PSO TCOS'!L182</f>
        <v>10690821.179445541</v>
      </c>
      <c r="G44" s="963"/>
      <c r="H44" s="933"/>
      <c r="I44" s="933"/>
      <c r="J44" s="933"/>
      <c r="K44" s="933"/>
      <c r="L44" s="1007"/>
      <c r="M44" s="1007"/>
      <c r="N44" s="1007"/>
      <c r="O44" s="1007"/>
      <c r="P44" s="933"/>
      <c r="Q44" s="1007"/>
      <c r="R44" s="932" t="s">
        <v>164</v>
      </c>
      <c r="S44" s="928" t="s">
        <v>70</v>
      </c>
    </row>
    <row r="45" spans="1:21" ht="13.5" thickBot="1">
      <c r="A45" s="49">
        <f t="shared" si="0"/>
        <v>24</v>
      </c>
      <c r="C45" s="179" t="str">
        <f>"  Gross Margin Taxes  (TCOS, ln "&amp;'PSO TCOS'!B191&amp;")"</f>
        <v xml:space="preserve">  Gross Margin Taxes  (TCOS, ln 116)</v>
      </c>
      <c r="D45" s="933"/>
      <c r="E45" s="933"/>
      <c r="F45" s="1009">
        <f>+'PSO TCOS'!L191</f>
        <v>0</v>
      </c>
      <c r="G45" s="963"/>
      <c r="H45" s="933"/>
      <c r="I45" s="933"/>
      <c r="J45" s="933"/>
      <c r="K45" s="933"/>
      <c r="L45" s="1007"/>
      <c r="M45" s="1007"/>
      <c r="N45" s="1007"/>
      <c r="O45" s="1007"/>
      <c r="P45" s="933"/>
      <c r="Q45" s="1007"/>
      <c r="R45" s="928" t="s">
        <v>435</v>
      </c>
    </row>
    <row r="46" spans="1:21">
      <c r="A46" s="49">
        <f t="shared" si="0"/>
        <v>25</v>
      </c>
      <c r="C46" s="12" t="s">
        <v>23</v>
      </c>
      <c r="D46" s="933"/>
      <c r="E46" s="933"/>
      <c r="F46" s="967">
        <f>F42-F43-F44-F45</f>
        <v>72617670.248747095</v>
      </c>
      <c r="G46" s="967"/>
      <c r="H46" s="965"/>
      <c r="I46" s="933"/>
      <c r="J46" s="933"/>
      <c r="K46" s="933"/>
      <c r="L46" s="965"/>
      <c r="M46" s="965"/>
      <c r="N46" s="965"/>
      <c r="O46" s="965"/>
      <c r="P46" s="965"/>
      <c r="Q46" s="965"/>
      <c r="R46" s="1008">
        <v>8557318.5351672061</v>
      </c>
      <c r="S46" s="12" t="str">
        <f>+L18&amp;" "&amp;N16</f>
        <v>∑ True Up Year Projected  WS-F   Rev Require</v>
      </c>
    </row>
    <row r="47" spans="1:21">
      <c r="A47" s="49"/>
      <c r="C47" s="179"/>
      <c r="D47" s="933"/>
      <c r="E47" s="933"/>
      <c r="F47" s="963"/>
      <c r="G47" s="963"/>
      <c r="H47" s="934"/>
      <c r="I47" s="959"/>
      <c r="J47" s="959"/>
      <c r="K47" s="959"/>
      <c r="L47" s="959"/>
      <c r="M47" s="959"/>
      <c r="N47" s="959"/>
      <c r="O47" s="959"/>
      <c r="P47" s="959"/>
      <c r="Q47" s="959"/>
      <c r="R47" s="1010">
        <v>8557318.5351672061</v>
      </c>
      <c r="S47" s="12" t="str">
        <f>+L18&amp;" "&amp;O16</f>
        <v>∑ True Up Year Projected  WS-F    With Incentives</v>
      </c>
    </row>
    <row r="48" spans="1:21" ht="15.5">
      <c r="A48" s="49"/>
      <c r="C48" s="931" t="str">
        <f>"B.   Determine Net Revenue Requirement with hypothetical "&amp;F12&amp;" basis point increase in ROE."</f>
        <v>B.   Determine Net Revenue Requirement with hypothetical 0 basis point increase in ROE.</v>
      </c>
      <c r="D48" s="937"/>
      <c r="E48" s="937"/>
      <c r="F48" s="963"/>
      <c r="G48" s="963"/>
      <c r="H48" s="934"/>
      <c r="I48" s="959"/>
      <c r="J48" s="959"/>
      <c r="K48" s="959"/>
      <c r="L48" s="959"/>
      <c r="M48" s="959"/>
      <c r="N48" s="959"/>
      <c r="O48" s="959"/>
      <c r="P48" s="959"/>
      <c r="Q48" s="959"/>
      <c r="R48" s="1110">
        <v>10194766.21853902</v>
      </c>
      <c r="S48" s="12" t="str">
        <f>+L19&amp;" "&amp;N16</f>
        <v>∑ True-Up Year True-Up WS-G   Rev Require</v>
      </c>
    </row>
    <row r="49" spans="1:19" ht="13" thickBot="1">
      <c r="A49" s="49">
        <f>+A46+1</f>
        <v>26</v>
      </c>
      <c r="C49" s="179" t="str">
        <f>C46</f>
        <v xml:space="preserve">   Net Revenue Requirement, Less Return and Taxes</v>
      </c>
      <c r="D49" s="937"/>
      <c r="E49" s="937"/>
      <c r="F49" s="963">
        <f>F46</f>
        <v>72617670.248747095</v>
      </c>
      <c r="G49" s="963"/>
      <c r="H49" s="934"/>
      <c r="I49" s="959"/>
      <c r="J49" s="959"/>
      <c r="K49" s="959"/>
      <c r="L49" s="959"/>
      <c r="M49" s="959"/>
      <c r="N49" s="959"/>
      <c r="O49" s="959"/>
      <c r="P49" s="959"/>
      <c r="Q49" s="959"/>
      <c r="R49" s="1011">
        <v>10194766.21853902</v>
      </c>
      <c r="S49" s="12" t="str">
        <f>+L19&amp;" "&amp;O16</f>
        <v>∑ True-Up Year True-Up WS-G    With Incentives</v>
      </c>
    </row>
    <row r="50" spans="1:19" ht="13">
      <c r="A50" s="49">
        <f t="shared" ref="A50:A56" si="1">+A49+1</f>
        <v>27</v>
      </c>
      <c r="C50" s="937" t="s">
        <v>386</v>
      </c>
      <c r="F50" s="998">
        <f>E25</f>
        <v>51664533.768347368</v>
      </c>
      <c r="G50" s="963"/>
      <c r="H50" s="933"/>
      <c r="I50" s="933"/>
      <c r="J50" s="933"/>
      <c r="K50" s="933"/>
      <c r="L50" s="933"/>
      <c r="M50" s="933"/>
      <c r="N50" s="933"/>
      <c r="O50" s="933"/>
      <c r="P50" s="1012"/>
      <c r="Q50" s="933"/>
    </row>
    <row r="51" spans="1:19">
      <c r="A51" s="49">
        <f t="shared" si="1"/>
        <v>28</v>
      </c>
      <c r="C51" s="179" t="s">
        <v>379</v>
      </c>
      <c r="D51" s="933"/>
      <c r="E51" s="933"/>
      <c r="F51" s="1013">
        <f>F36</f>
        <v>10690821.179445541</v>
      </c>
      <c r="G51" s="998"/>
      <c r="I51" s="811"/>
      <c r="J51" s="811"/>
      <c r="K51" s="811"/>
    </row>
    <row r="52" spans="1:19" ht="12.75" customHeight="1">
      <c r="A52" s="49">
        <f t="shared" si="1"/>
        <v>29</v>
      </c>
      <c r="C52" s="12" t="str">
        <f>"   Net Revenue Requirement, with "&amp;F12&amp;" Basis Point ROE increase"</f>
        <v xml:space="preserve">   Net Revenue Requirement, with 0 Basis Point ROE increase</v>
      </c>
      <c r="F52" s="998">
        <f>SUM(F49:F51)</f>
        <v>134973025.19654</v>
      </c>
      <c r="G52" s="1014"/>
    </row>
    <row r="53" spans="1:19">
      <c r="A53" s="49">
        <f t="shared" si="1"/>
        <v>30</v>
      </c>
      <c r="C53" s="12" t="str">
        <f>"   Gross Margin Tax with "&amp;F87&amp;" Basis Point ROE Increase (II C. below)"</f>
        <v xml:space="preserve">   Gross Margin Tax with  Basis Point ROE Increase (II C. below)</v>
      </c>
      <c r="D53" s="12"/>
      <c r="F53" s="1015">
        <f>+F68</f>
        <v>0</v>
      </c>
      <c r="G53" s="998"/>
    </row>
    <row r="54" spans="1:19">
      <c r="A54" s="49">
        <f t="shared" si="1"/>
        <v>31</v>
      </c>
      <c r="C54" s="12" t="s">
        <v>24</v>
      </c>
      <c r="F54" s="998">
        <f>+F52+F53</f>
        <v>134973025.19654</v>
      </c>
      <c r="G54" s="998"/>
    </row>
    <row r="55" spans="1:19">
      <c r="A55" s="49">
        <f t="shared" si="1"/>
        <v>32</v>
      </c>
      <c r="C55" s="179" t="str">
        <f>"   Less: Depreciation  (TCOS, ln "&amp;'PSO TCOS'!B153&amp;")"</f>
        <v xml:space="preserve">   Less: Depreciation  (TCOS, ln 86)</v>
      </c>
      <c r="F55" s="1016">
        <f>+'PSO TCOS'!L153</f>
        <v>27491329.543581594</v>
      </c>
      <c r="G55" s="998"/>
    </row>
    <row r="56" spans="1:19">
      <c r="A56" s="49">
        <f t="shared" si="1"/>
        <v>33</v>
      </c>
      <c r="C56" s="12" t="str">
        <f>"   Net Rev. Req, w/"&amp;F12&amp;" Basis Point ROE increase, less Depreciation"</f>
        <v xml:space="preserve">   Net Rev. Req, w/0 Basis Point ROE increase, less Depreciation</v>
      </c>
      <c r="F56" s="998">
        <f>F54-F55</f>
        <v>107481695.65295841</v>
      </c>
      <c r="G56" s="1016"/>
    </row>
    <row r="57" spans="1:19">
      <c r="A57" s="49"/>
      <c r="G57" s="998"/>
    </row>
    <row r="58" spans="1:19" ht="15.5">
      <c r="A58" s="49"/>
      <c r="C58" s="931" t="str">
        <f>"C.   Determine Gross Margin Tax with hypothetical "&amp;F12&amp;" basis point increase in ROE."</f>
        <v>C.   Determine Gross Margin Tax with hypothetical 0 basis point increase in ROE.</v>
      </c>
      <c r="D58" s="12"/>
      <c r="F58" s="998"/>
    </row>
    <row r="59" spans="1:19">
      <c r="A59" s="49">
        <f>+A56+1</f>
        <v>34</v>
      </c>
      <c r="C59" s="12" t="str">
        <f>"   Net Revenue Requirement before Gross Margin Taxes, with "&amp;F12&amp;" "</f>
        <v xml:space="preserve">   Net Revenue Requirement before Gross Margin Taxes, with 0 </v>
      </c>
      <c r="D59" s="12"/>
      <c r="F59" s="998">
        <f>+F52</f>
        <v>134973025.19654</v>
      </c>
      <c r="G59" s="998"/>
    </row>
    <row r="60" spans="1:19">
      <c r="A60" s="49">
        <f t="shared" ref="A60:A68" si="2">+A59+1</f>
        <v>35</v>
      </c>
      <c r="C60" s="12" t="s">
        <v>25</v>
      </c>
      <c r="D60" s="12"/>
      <c r="F60" s="998"/>
      <c r="G60" s="998"/>
    </row>
    <row r="61" spans="1:19">
      <c r="A61" s="49">
        <f t="shared" si="2"/>
        <v>36</v>
      </c>
      <c r="C61" s="12" t="str">
        <f>"       Apportionment Factor to Texas (Worksheet K, ln "&amp;'PSO WS K State Taxes'!A53&amp;")"</f>
        <v xml:space="preserve">       Apportionment Factor to Texas (Worksheet K, ln 12)</v>
      </c>
      <c r="F61" s="1017">
        <f>+'PSO WS K State Taxes'!E53</f>
        <v>0</v>
      </c>
      <c r="G61" s="998"/>
    </row>
    <row r="62" spans="1:19">
      <c r="A62" s="49">
        <f t="shared" si="2"/>
        <v>37</v>
      </c>
      <c r="C62" s="12" t="s">
        <v>26</v>
      </c>
      <c r="F62" s="998">
        <f>+F61*F59</f>
        <v>0</v>
      </c>
      <c r="G62" s="945"/>
    </row>
    <row r="63" spans="1:19">
      <c r="A63" s="49">
        <f t="shared" si="2"/>
        <v>38</v>
      </c>
      <c r="C63" s="12" t="s">
        <v>690</v>
      </c>
      <c r="F63" s="1018">
        <v>0.22</v>
      </c>
      <c r="G63" s="998"/>
    </row>
    <row r="64" spans="1:19">
      <c r="A64" s="49">
        <f t="shared" si="2"/>
        <v>39</v>
      </c>
      <c r="C64" s="12" t="s">
        <v>27</v>
      </c>
      <c r="F64" s="998">
        <f>+F62*F63</f>
        <v>0</v>
      </c>
      <c r="G64" s="1019"/>
    </row>
    <row r="65" spans="1:8">
      <c r="A65" s="49">
        <f t="shared" si="2"/>
        <v>40</v>
      </c>
      <c r="C65" s="12" t="s">
        <v>28</v>
      </c>
      <c r="F65" s="1018">
        <v>0.01</v>
      </c>
      <c r="G65" s="998"/>
    </row>
    <row r="66" spans="1:8">
      <c r="A66" s="49">
        <f t="shared" si="2"/>
        <v>41</v>
      </c>
      <c r="C66" s="12" t="s">
        <v>29</v>
      </c>
      <c r="F66" s="998">
        <f>+F64*F65</f>
        <v>0</v>
      </c>
      <c r="G66" s="1019"/>
    </row>
    <row r="67" spans="1:8">
      <c r="A67" s="49">
        <f t="shared" si="2"/>
        <v>42</v>
      </c>
      <c r="C67" s="12" t="s">
        <v>30</v>
      </c>
      <c r="F67" s="1020">
        <f>+ROUND((F66*F63*F61)/(1-F65)*F65,0)</f>
        <v>0</v>
      </c>
      <c r="G67" s="998"/>
    </row>
    <row r="68" spans="1:8">
      <c r="A68" s="49">
        <f t="shared" si="2"/>
        <v>43</v>
      </c>
      <c r="C68" s="12" t="s">
        <v>31</v>
      </c>
      <c r="F68" s="998">
        <f>+F66+F67</f>
        <v>0</v>
      </c>
      <c r="G68" s="891"/>
    </row>
    <row r="69" spans="1:8">
      <c r="A69" s="49"/>
      <c r="G69" s="998"/>
    </row>
    <row r="70" spans="1:8" ht="15.5">
      <c r="A70" s="49"/>
      <c r="C70" s="931" t="str">
        <f>"D.   Determine FCR with hypothetical "&amp;F12&amp;" basis point ROE increase."</f>
        <v>D.   Determine FCR with hypothetical 0 basis point ROE increase.</v>
      </c>
    </row>
    <row r="71" spans="1:8">
      <c r="A71" s="49">
        <f>+A68+1</f>
        <v>44</v>
      </c>
      <c r="C71" s="179" t="str">
        <f>"   Net Transmission Plant  (TCOS, ln "&amp;'PSO TCOS'!B79&amp;")"</f>
        <v xml:space="preserve">   Net Transmission Plant  (TCOS, ln 37)</v>
      </c>
      <c r="F71" s="998">
        <f>+'PSO TCOS'!L79</f>
        <v>800198988.26538479</v>
      </c>
    </row>
    <row r="72" spans="1:8" ht="14">
      <c r="A72" s="49">
        <f>+A71+1</f>
        <v>45</v>
      </c>
      <c r="C72" s="12" t="str">
        <f>"   Net Revenue Requirement, with "&amp;F12&amp;" Basis Point ROE increase"</f>
        <v xml:space="preserve">   Net Revenue Requirement, with 0 Basis Point ROE increase</v>
      </c>
      <c r="F72" s="1021">
        <f>+F54</f>
        <v>134973025.19654</v>
      </c>
      <c r="G72" s="998"/>
    </row>
    <row r="73" spans="1:8" ht="14">
      <c r="A73" s="49">
        <f>+A72+1</f>
        <v>46</v>
      </c>
      <c r="C73" s="12" t="str">
        <f>"   FCR with "&amp;F12&amp;" Basis Point increase in ROE"</f>
        <v xml:space="preserve">   FCR with 0 Basis Point increase in ROE</v>
      </c>
      <c r="F73" s="945">
        <f>IF(F71=0,0,F72/F71)</f>
        <v>0.16867432623118539</v>
      </c>
      <c r="G73" s="1021"/>
    </row>
    <row r="74" spans="1:8">
      <c r="A74" s="49"/>
      <c r="G74" s="945"/>
    </row>
    <row r="75" spans="1:8">
      <c r="A75" s="49">
        <f>+A73+1</f>
        <v>47</v>
      </c>
      <c r="C75" s="12" t="str">
        <f>"   Net Rev. Req, w / "&amp;F12&amp;" Basis Point ROE increase, less Dep."</f>
        <v xml:space="preserve">   Net Rev. Req, w / 0 Basis Point ROE increase, less Dep.</v>
      </c>
      <c r="F75" s="998">
        <f>+F56</f>
        <v>107481695.65295841</v>
      </c>
      <c r="H75" s="945"/>
    </row>
    <row r="76" spans="1:8">
      <c r="A76" s="49">
        <f t="shared" ref="A76:A85" si="3">+A75+1</f>
        <v>48</v>
      </c>
      <c r="C76" s="12" t="str">
        <f>"   FCR with "&amp;F12&amp;" Basis Point ROE increase, less Depreciation"</f>
        <v xml:space="preserve">   FCR with 0 Basis Point ROE increase, less Depreciation</v>
      </c>
      <c r="F76" s="945">
        <f>IF(F71=0,0,F75/F71)</f>
        <v>0.13431870975736884</v>
      </c>
      <c r="G76" s="998"/>
    </row>
    <row r="77" spans="1:8">
      <c r="A77" s="49">
        <f t="shared" si="3"/>
        <v>49</v>
      </c>
      <c r="C77" s="179" t="str">
        <f>"   FCR less Depreciation  (TCOS, ln "&amp;'PSO TCOS'!B30&amp;")"</f>
        <v xml:space="preserve">   FCR less Depreciation  (TCOS, ln 10)</v>
      </c>
      <c r="F77" s="1022">
        <f>+'PSO TCOS'!L30</f>
        <v>0.13431870975736884</v>
      </c>
      <c r="G77" s="945"/>
      <c r="H77" s="998"/>
    </row>
    <row r="78" spans="1:8">
      <c r="A78" s="49">
        <f t="shared" si="3"/>
        <v>50</v>
      </c>
      <c r="C78" s="12" t="str">
        <f>"   Incremental FCR with "&amp;F12&amp;" Basis Point ROE increase, less Depreciation"</f>
        <v xml:space="preserve">   Incremental FCR with 0 Basis Point ROE increase, less Depreciation</v>
      </c>
      <c r="F78" s="945">
        <f>F76-F77</f>
        <v>0</v>
      </c>
      <c r="G78" s="1022"/>
      <c r="H78" s="1023"/>
    </row>
    <row r="79" spans="1:8">
      <c r="A79" s="49"/>
      <c r="F79" s="945"/>
      <c r="G79" s="945"/>
    </row>
    <row r="80" spans="1:8" ht="18">
      <c r="A80" s="49"/>
      <c r="B80" s="929" t="s">
        <v>312</v>
      </c>
      <c r="C80" s="35" t="s">
        <v>380</v>
      </c>
      <c r="F80" s="945"/>
      <c r="G80" s="945"/>
    </row>
    <row r="81" spans="1:16" ht="12.75" customHeight="1">
      <c r="A81" s="49">
        <f>+A78+1</f>
        <v>51</v>
      </c>
      <c r="C81" s="12" t="str">
        <f>"Transmission Plant Average Balance for "&amp;'PSO TCOS'!$N$2&amp;" (WS A-1 Ln "&amp;'PSO WS A-1 - Plant'!A24&amp;" Col "&amp;'PSO WS A-1 - Plant'!E9&amp;")"</f>
        <v>Transmission Plant Average Balance for 2024 (WS A-1 Ln 14 Col (d))</v>
      </c>
      <c r="F81" s="811">
        <f>+'PSO WS A-1 - Plant'!E24</f>
        <v>1264681127.2407694</v>
      </c>
      <c r="G81" s="771"/>
    </row>
    <row r="82" spans="1:16">
      <c r="A82" s="49">
        <f t="shared" si="3"/>
        <v>52</v>
      </c>
      <c r="C82" s="179" t="str">
        <f>"Annual Depreciation Expense  (TCOS, ln "&amp;'PSO TCOS'!B153&amp;")"</f>
        <v>Annual Depreciation Expense  (TCOS, ln 86)</v>
      </c>
      <c r="F82" s="811">
        <f>+'PSO TCOS'!G153</f>
        <v>34344533</v>
      </c>
      <c r="G82" s="811"/>
    </row>
    <row r="83" spans="1:16">
      <c r="A83" s="49">
        <f t="shared" si="3"/>
        <v>53</v>
      </c>
      <c r="C83" s="12" t="s">
        <v>381</v>
      </c>
      <c r="F83" s="945">
        <f>IF(F81=0,0,F82/F81)</f>
        <v>2.715667393165859E-2</v>
      </c>
      <c r="G83" s="811"/>
    </row>
    <row r="84" spans="1:16">
      <c r="A84" s="49">
        <f t="shared" si="3"/>
        <v>54</v>
      </c>
      <c r="C84" s="12" t="s">
        <v>382</v>
      </c>
      <c r="F84" s="770">
        <f>IF(F83=0,0,1/F83)</f>
        <v>36.823360714812146</v>
      </c>
      <c r="G84" s="945"/>
      <c r="I84" s="770"/>
      <c r="J84" s="770"/>
      <c r="K84" s="770"/>
    </row>
    <row r="85" spans="1:16">
      <c r="A85" s="49">
        <f t="shared" si="3"/>
        <v>55</v>
      </c>
      <c r="C85" s="12" t="s">
        <v>383</v>
      </c>
      <c r="F85" s="804">
        <f>ROUND(F84,0)</f>
        <v>37</v>
      </c>
      <c r="G85" s="770"/>
    </row>
    <row r="86" spans="1:16">
      <c r="A86" s="49"/>
      <c r="C86" s="179"/>
      <c r="D86" s="937"/>
      <c r="E86" s="937"/>
      <c r="F86" s="963"/>
      <c r="G86" s="804"/>
    </row>
    <row r="87" spans="1:16">
      <c r="F87" s="804"/>
      <c r="G87" s="804"/>
    </row>
    <row r="89" spans="1:16" ht="20">
      <c r="A89" s="1111" t="str">
        <f>"Worksheet G  --  "&amp;'PSO TCOS'!F8&amp;"--  Calculation of Trued-Up ARR for SPP Base Plan Upgrade Projects"</f>
        <v>Worksheet G  --  PUBLIC SERVICE COMPANY OF OKLAHOMA--  Calculation of Trued-Up ARR for SPP Base Plan Upgrade Projects</v>
      </c>
      <c r="B89" s="123"/>
      <c r="C89" s="123"/>
      <c r="D89" s="1112"/>
      <c r="E89" s="123"/>
      <c r="F89" s="1113"/>
      <c r="G89" s="1113"/>
      <c r="H89" s="123"/>
      <c r="I89" s="1025"/>
      <c r="J89" s="123"/>
      <c r="K89" s="123"/>
      <c r="L89" s="1114"/>
      <c r="M89" s="1114"/>
      <c r="N89" s="123"/>
      <c r="O89" s="123"/>
      <c r="P89" s="1114"/>
    </row>
    <row r="90" spans="1:16" ht="17.5">
      <c r="A90" s="123"/>
      <c r="B90" s="123"/>
      <c r="C90" s="123"/>
      <c r="D90" s="1112"/>
      <c r="E90" s="123"/>
      <c r="F90" s="123"/>
      <c r="G90" s="123"/>
      <c r="H90" s="123"/>
      <c r="I90" s="1025"/>
      <c r="J90" s="123"/>
      <c r="K90" s="123"/>
      <c r="L90" s="123"/>
      <c r="M90" s="123"/>
      <c r="N90" s="123"/>
      <c r="O90" s="123"/>
      <c r="P90" s="1115"/>
    </row>
    <row r="91" spans="1:16" ht="17.5" thickBot="1">
      <c r="A91" s="123"/>
      <c r="B91" s="1116" t="s">
        <v>313</v>
      </c>
      <c r="C91" s="160" t="s">
        <v>482</v>
      </c>
      <c r="D91" s="1112"/>
      <c r="E91" s="123"/>
      <c r="F91" s="123"/>
      <c r="G91" s="123"/>
      <c r="H91" s="123"/>
      <c r="I91" s="1025"/>
      <c r="J91" s="1025"/>
      <c r="K91" s="1028"/>
      <c r="L91" s="1025"/>
      <c r="M91" s="1025"/>
      <c r="N91" s="1025"/>
      <c r="O91" s="1028"/>
      <c r="P91" s="123"/>
    </row>
    <row r="92" spans="1:16" ht="16" thickBot="1">
      <c r="A92" s="123"/>
      <c r="B92" s="123"/>
      <c r="C92" s="495"/>
      <c r="D92" s="1112"/>
      <c r="E92" s="123"/>
      <c r="F92" s="123"/>
      <c r="G92" s="123"/>
      <c r="H92" s="123"/>
      <c r="I92" s="1025"/>
      <c r="J92" s="1025"/>
      <c r="K92" s="1028"/>
      <c r="L92" s="1117">
        <f>+M17</f>
        <v>2024</v>
      </c>
      <c r="M92" s="1118" t="s">
        <v>371</v>
      </c>
      <c r="N92" s="1119" t="s">
        <v>483</v>
      </c>
      <c r="O92" s="1120" t="s">
        <v>372</v>
      </c>
      <c r="P92" s="123"/>
    </row>
    <row r="93" spans="1:16" ht="15.5">
      <c r="A93" s="123"/>
      <c r="B93" s="123"/>
      <c r="C93" s="1006" t="s">
        <v>446</v>
      </c>
      <c r="D93" s="1112"/>
      <c r="E93" s="123"/>
      <c r="F93" s="123"/>
      <c r="G93" s="123"/>
      <c r="H93" s="1031"/>
      <c r="I93" s="1121"/>
      <c r="J93" s="123"/>
      <c r="K93" s="1122"/>
      <c r="L93" s="1123" t="s">
        <v>495</v>
      </c>
      <c r="M93" s="1124"/>
      <c r="N93" s="1124"/>
      <c r="O93" s="1125">
        <v>0</v>
      </c>
      <c r="P93" s="123"/>
    </row>
    <row r="94" spans="1:16" ht="15.5">
      <c r="A94" s="123"/>
      <c r="B94" s="123"/>
      <c r="C94" s="1126"/>
      <c r="D94" s="1112"/>
      <c r="E94" s="123"/>
      <c r="F94" s="123"/>
      <c r="G94" s="123"/>
      <c r="H94" s="123"/>
      <c r="I94" s="1037"/>
      <c r="J94" s="1037"/>
      <c r="K94" s="1127"/>
      <c r="L94" s="1128" t="s">
        <v>496</v>
      </c>
      <c r="M94" s="1129"/>
      <c r="N94" s="1129"/>
      <c r="O94" s="1130">
        <v>0</v>
      </c>
      <c r="P94" s="123"/>
    </row>
    <row r="95" spans="1:16" ht="13.5" thickBot="1">
      <c r="A95" s="123"/>
      <c r="B95" s="123"/>
      <c r="C95" s="1005" t="s">
        <v>484</v>
      </c>
      <c r="D95" s="1042"/>
      <c r="E95" s="1042"/>
      <c r="F95" s="123"/>
      <c r="G95" s="123"/>
      <c r="H95" s="123"/>
      <c r="I95" s="1025"/>
      <c r="J95" s="1025"/>
      <c r="K95" s="1085"/>
      <c r="L95" s="1131" t="s">
        <v>485</v>
      </c>
      <c r="M95" s="1132"/>
      <c r="N95" s="1132"/>
      <c r="O95" s="1133">
        <v>0</v>
      </c>
      <c r="P95" s="123"/>
    </row>
    <row r="96" spans="1:16" ht="13.5" thickBot="1">
      <c r="A96" s="123"/>
      <c r="B96" s="123"/>
      <c r="C96" s="1005"/>
      <c r="D96" s="1134" t="s">
        <v>337</v>
      </c>
      <c r="E96" s="1135"/>
      <c r="F96" s="1135"/>
      <c r="G96" s="1135"/>
      <c r="H96" s="1136"/>
      <c r="I96" s="1025"/>
      <c r="J96" s="1025"/>
      <c r="K96" s="1028"/>
      <c r="L96" s="1025"/>
      <c r="M96" s="1025"/>
      <c r="N96" s="1025"/>
      <c r="O96" s="1028"/>
      <c r="P96" s="123"/>
    </row>
    <row r="97" spans="1:16" ht="13.5" thickBot="1">
      <c r="A97" s="123"/>
      <c r="B97" s="123"/>
      <c r="C97" s="1137" t="s">
        <v>486</v>
      </c>
      <c r="D97" s="1047"/>
      <c r="E97" s="1048" t="s">
        <v>664</v>
      </c>
      <c r="F97" s="510"/>
      <c r="G97" s="510"/>
      <c r="H97" s="510"/>
      <c r="I97" s="510"/>
      <c r="J97" s="510"/>
      <c r="K97" s="123"/>
      <c r="L97" s="123"/>
      <c r="M97" s="123"/>
      <c r="N97" s="123"/>
      <c r="O97" s="123"/>
      <c r="P97" s="123"/>
    </row>
    <row r="98" spans="1:16" ht="15.5">
      <c r="A98" s="123"/>
      <c r="B98" s="123"/>
      <c r="C98" s="1138" t="s">
        <v>450</v>
      </c>
      <c r="D98" s="1139"/>
      <c r="E98" s="123" t="s">
        <v>127</v>
      </c>
      <c r="F98" s="123"/>
      <c r="G98" s="123"/>
      <c r="H98" s="1112"/>
      <c r="I98" s="1112"/>
      <c r="J98" s="1140">
        <f>+M17</f>
        <v>2024</v>
      </c>
      <c r="K98" s="1141"/>
      <c r="L98" s="1028" t="s">
        <v>487</v>
      </c>
      <c r="M98" s="123"/>
      <c r="N98" s="123"/>
      <c r="O98" s="123"/>
      <c r="P98" s="123"/>
    </row>
    <row r="99" spans="1:16" ht="15.5">
      <c r="A99" s="123"/>
      <c r="B99" s="123"/>
      <c r="C99" s="1142" t="s">
        <v>452</v>
      </c>
      <c r="D99" s="1143"/>
      <c r="E99" s="1142" t="s">
        <v>453</v>
      </c>
      <c r="F99" s="1112"/>
      <c r="G99" s="1112"/>
      <c r="H99" s="123"/>
      <c r="I99" s="123"/>
      <c r="J99" s="1144">
        <v>0</v>
      </c>
      <c r="K99" s="1145"/>
      <c r="L99" s="123" t="s">
        <v>489</v>
      </c>
      <c r="M99" s="123"/>
      <c r="N99" s="123"/>
      <c r="O99" s="123"/>
      <c r="P99" s="123"/>
    </row>
    <row r="100" spans="1:16" ht="15.5">
      <c r="A100" s="123"/>
      <c r="B100" s="123"/>
      <c r="C100" s="1142" t="s">
        <v>454</v>
      </c>
      <c r="D100" s="1143"/>
      <c r="E100" s="1142" t="s">
        <v>455</v>
      </c>
      <c r="F100" s="1112"/>
      <c r="G100" s="1112"/>
      <c r="H100" s="123"/>
      <c r="I100" s="123"/>
      <c r="J100" s="1146">
        <f>+F77</f>
        <v>0.13431870975736884</v>
      </c>
      <c r="K100" s="1113"/>
      <c r="L100" s="123" t="s">
        <v>490</v>
      </c>
      <c r="M100" s="123"/>
      <c r="N100" s="123"/>
      <c r="O100" s="123"/>
      <c r="P100" s="123"/>
    </row>
    <row r="101" spans="1:16" ht="15.5">
      <c r="A101" s="123"/>
      <c r="B101" s="123"/>
      <c r="C101" s="1142" t="s">
        <v>457</v>
      </c>
      <c r="D101" s="1143"/>
      <c r="E101" s="1142" t="s">
        <v>458</v>
      </c>
      <c r="F101" s="1112"/>
      <c r="G101" s="1112"/>
      <c r="H101" s="123"/>
      <c r="I101" s="123"/>
      <c r="J101" s="1057">
        <f>IF(H93="",J100,F76)</f>
        <v>0.13431870975736884</v>
      </c>
      <c r="K101" s="1113"/>
      <c r="L101" s="1028" t="s">
        <v>459</v>
      </c>
      <c r="M101" s="1113"/>
      <c r="N101" s="1113"/>
      <c r="O101" s="1113"/>
      <c r="P101" s="123"/>
    </row>
    <row r="102" spans="1:16" ht="16" thickBot="1">
      <c r="A102" s="123"/>
      <c r="B102" s="123"/>
      <c r="C102" s="1142" t="s">
        <v>460</v>
      </c>
      <c r="D102" s="1143"/>
      <c r="E102" s="1147" t="s">
        <v>461</v>
      </c>
      <c r="F102" s="1148"/>
      <c r="G102" s="1148"/>
      <c r="H102" s="1149"/>
      <c r="I102" s="1149"/>
      <c r="J102" s="1045"/>
      <c r="K102" s="1028"/>
      <c r="L102" s="1028"/>
      <c r="M102" s="1028"/>
      <c r="N102" s="1028"/>
      <c r="O102" s="1028"/>
      <c r="P102" s="123"/>
    </row>
    <row r="103" spans="1:16" ht="39">
      <c r="A103" s="1136"/>
      <c r="B103" s="1136"/>
      <c r="C103" s="1150" t="s">
        <v>384</v>
      </c>
      <c r="D103" s="1065" t="s">
        <v>462</v>
      </c>
      <c r="E103" s="1065" t="s">
        <v>463</v>
      </c>
      <c r="F103" s="1065" t="s">
        <v>464</v>
      </c>
      <c r="G103" s="1151" t="s">
        <v>180</v>
      </c>
      <c r="H103" s="1152" t="s">
        <v>491</v>
      </c>
      <c r="I103" s="1152" t="s">
        <v>466</v>
      </c>
      <c r="J103" s="1150" t="s">
        <v>492</v>
      </c>
      <c r="K103" s="1153"/>
      <c r="L103" s="1066" t="s">
        <v>493</v>
      </c>
      <c r="M103" s="1066" t="s">
        <v>494</v>
      </c>
      <c r="N103" s="1066" t="s">
        <v>493</v>
      </c>
      <c r="O103" s="1066" t="s">
        <v>494</v>
      </c>
      <c r="P103" s="1066" t="s">
        <v>470</v>
      </c>
    </row>
    <row r="104" spans="1:16" ht="13.5" thickBot="1">
      <c r="A104" s="123"/>
      <c r="B104" s="123"/>
      <c r="C104" s="1154" t="s">
        <v>471</v>
      </c>
      <c r="D104" s="1155" t="s">
        <v>316</v>
      </c>
      <c r="E104" s="1154" t="s">
        <v>215</v>
      </c>
      <c r="F104" s="1154" t="s">
        <v>316</v>
      </c>
      <c r="G104" s="1154" t="s">
        <v>316</v>
      </c>
      <c r="H104" s="1072" t="s">
        <v>472</v>
      </c>
      <c r="I104" s="1069" t="s">
        <v>473</v>
      </c>
      <c r="J104" s="1154" t="s">
        <v>657</v>
      </c>
      <c r="K104" s="1156"/>
      <c r="L104" s="1071" t="s">
        <v>475</v>
      </c>
      <c r="M104" s="1071" t="s">
        <v>475</v>
      </c>
      <c r="N104" s="1071" t="s">
        <v>658</v>
      </c>
      <c r="O104" s="1071" t="s">
        <v>658</v>
      </c>
      <c r="P104" s="1071" t="s">
        <v>658</v>
      </c>
    </row>
    <row r="105" spans="1:16">
      <c r="A105" s="123"/>
      <c r="B105" s="123"/>
      <c r="C105" s="1157" t="s">
        <v>488</v>
      </c>
      <c r="D105" s="1135">
        <v>0</v>
      </c>
      <c r="E105" s="1080">
        <v>0</v>
      </c>
      <c r="F105" s="1158">
        <v>0</v>
      </c>
      <c r="G105" s="1159">
        <v>0</v>
      </c>
      <c r="H105" s="1160">
        <v>0</v>
      </c>
      <c r="I105" s="1161">
        <v>0</v>
      </c>
      <c r="J105" s="1162">
        <v>0</v>
      </c>
      <c r="K105" s="1162"/>
      <c r="L105" s="1163"/>
      <c r="M105" s="1164">
        <v>0</v>
      </c>
      <c r="N105" s="1163"/>
      <c r="O105" s="1164">
        <v>0</v>
      </c>
      <c r="P105" s="1164">
        <v>0</v>
      </c>
    </row>
    <row r="106" spans="1:16">
      <c r="A106" s="123"/>
      <c r="B106" s="1112"/>
      <c r="C106" s="1157">
        <v>2014</v>
      </c>
      <c r="D106" s="1135">
        <v>0</v>
      </c>
      <c r="E106" s="1080">
        <v>0</v>
      </c>
      <c r="F106" s="1158">
        <v>0</v>
      </c>
      <c r="G106" s="1158">
        <v>0</v>
      </c>
      <c r="H106" s="1082">
        <v>0</v>
      </c>
      <c r="I106" s="1165">
        <v>0</v>
      </c>
      <c r="J106" s="1162">
        <v>0</v>
      </c>
      <c r="K106" s="1162"/>
      <c r="L106" s="1166"/>
      <c r="M106" s="1162">
        <v>0</v>
      </c>
      <c r="N106" s="1166"/>
      <c r="O106" s="1162">
        <v>0</v>
      </c>
      <c r="P106" s="1162">
        <v>0</v>
      </c>
    </row>
    <row r="107" spans="1:16">
      <c r="A107" s="123"/>
      <c r="B107" s="1112" t="s">
        <v>337</v>
      </c>
      <c r="C107" s="1157">
        <v>2015</v>
      </c>
      <c r="D107" s="1135">
        <v>0</v>
      </c>
      <c r="E107" s="1080">
        <v>0</v>
      </c>
      <c r="F107" s="1158">
        <v>0</v>
      </c>
      <c r="G107" s="1158">
        <v>0</v>
      </c>
      <c r="H107" s="1082">
        <v>0</v>
      </c>
      <c r="I107" s="1165">
        <v>0</v>
      </c>
      <c r="J107" s="1162">
        <v>0</v>
      </c>
      <c r="K107" s="1162"/>
      <c r="L107" s="1166"/>
      <c r="M107" s="1162">
        <v>0</v>
      </c>
      <c r="N107" s="1166"/>
      <c r="O107" s="1162">
        <v>0</v>
      </c>
      <c r="P107" s="1162">
        <v>0</v>
      </c>
    </row>
    <row r="108" spans="1:16">
      <c r="A108" s="123"/>
      <c r="B108" s="1112" t="s">
        <v>337</v>
      </c>
      <c r="C108" s="1157">
        <v>2016</v>
      </c>
      <c r="D108" s="1135">
        <v>0</v>
      </c>
      <c r="E108" s="1080">
        <v>0</v>
      </c>
      <c r="F108" s="1158">
        <v>0</v>
      </c>
      <c r="G108" s="1158">
        <v>0</v>
      </c>
      <c r="H108" s="1082">
        <v>0</v>
      </c>
      <c r="I108" s="1165">
        <v>0</v>
      </c>
      <c r="J108" s="1162">
        <v>0</v>
      </c>
      <c r="K108" s="1162"/>
      <c r="L108" s="1166"/>
      <c r="M108" s="1162">
        <v>0</v>
      </c>
      <c r="N108" s="1166"/>
      <c r="O108" s="1162">
        <v>0</v>
      </c>
      <c r="P108" s="1162">
        <v>0</v>
      </c>
    </row>
    <row r="109" spans="1:16">
      <c r="A109" s="123"/>
      <c r="B109" s="1112" t="s">
        <v>337</v>
      </c>
      <c r="C109" s="1157">
        <v>2017</v>
      </c>
      <c r="D109" s="1135">
        <v>0</v>
      </c>
      <c r="E109" s="1080">
        <v>0</v>
      </c>
      <c r="F109" s="1158">
        <v>0</v>
      </c>
      <c r="G109" s="1158">
        <v>0</v>
      </c>
      <c r="H109" s="1082">
        <v>0</v>
      </c>
      <c r="I109" s="1165">
        <v>0</v>
      </c>
      <c r="J109" s="1162">
        <v>0</v>
      </c>
      <c r="K109" s="1162"/>
      <c r="L109" s="1166"/>
      <c r="M109" s="1162">
        <v>0</v>
      </c>
      <c r="N109" s="1166"/>
      <c r="O109" s="1162">
        <v>0</v>
      </c>
      <c r="P109" s="1162">
        <v>0</v>
      </c>
    </row>
    <row r="110" spans="1:16">
      <c r="A110" s="123"/>
      <c r="B110" s="1112" t="s">
        <v>337</v>
      </c>
      <c r="C110" s="1157">
        <v>2018</v>
      </c>
      <c r="D110" s="1135">
        <v>0</v>
      </c>
      <c r="E110" s="1080">
        <v>0</v>
      </c>
      <c r="F110" s="1158">
        <v>0</v>
      </c>
      <c r="G110" s="1158">
        <v>0</v>
      </c>
      <c r="H110" s="1082">
        <v>0</v>
      </c>
      <c r="I110" s="1165">
        <v>0</v>
      </c>
      <c r="J110" s="1162">
        <v>0</v>
      </c>
      <c r="K110" s="1162"/>
      <c r="L110" s="1166"/>
      <c r="M110" s="1162">
        <v>0</v>
      </c>
      <c r="N110" s="1166"/>
      <c r="O110" s="1162">
        <v>0</v>
      </c>
      <c r="P110" s="1162">
        <v>0</v>
      </c>
    </row>
    <row r="111" spans="1:16">
      <c r="A111" s="123"/>
      <c r="B111" s="1112" t="s">
        <v>337</v>
      </c>
      <c r="C111" s="1157">
        <v>2019</v>
      </c>
      <c r="D111" s="1135">
        <v>0</v>
      </c>
      <c r="E111" s="1080">
        <v>0</v>
      </c>
      <c r="F111" s="1158">
        <v>0</v>
      </c>
      <c r="G111" s="1158">
        <v>0</v>
      </c>
      <c r="H111" s="1082">
        <v>0</v>
      </c>
      <c r="I111" s="1165">
        <v>0</v>
      </c>
      <c r="J111" s="1162">
        <v>0</v>
      </c>
      <c r="K111" s="1162"/>
      <c r="L111" s="1166"/>
      <c r="M111" s="1162">
        <v>0</v>
      </c>
      <c r="N111" s="1166"/>
      <c r="O111" s="1162">
        <v>0</v>
      </c>
      <c r="P111" s="1162">
        <v>0</v>
      </c>
    </row>
    <row r="112" spans="1:16">
      <c r="A112" s="123"/>
      <c r="B112" s="1112" t="s">
        <v>337</v>
      </c>
      <c r="C112" s="1157">
        <v>2020</v>
      </c>
      <c r="D112" s="1135">
        <v>0</v>
      </c>
      <c r="E112" s="1080">
        <v>0</v>
      </c>
      <c r="F112" s="1158">
        <v>0</v>
      </c>
      <c r="G112" s="1158">
        <v>0</v>
      </c>
      <c r="H112" s="1082">
        <v>0</v>
      </c>
      <c r="I112" s="1165">
        <v>0</v>
      </c>
      <c r="J112" s="1162">
        <v>0</v>
      </c>
      <c r="K112" s="1162"/>
      <c r="L112" s="1166"/>
      <c r="M112" s="1162">
        <v>0</v>
      </c>
      <c r="N112" s="1166"/>
      <c r="O112" s="1162">
        <v>0</v>
      </c>
      <c r="P112" s="1162">
        <v>0</v>
      </c>
    </row>
    <row r="113" spans="1:16">
      <c r="A113" s="123"/>
      <c r="B113" s="1112" t="s">
        <v>337</v>
      </c>
      <c r="C113" s="1157">
        <v>2021</v>
      </c>
      <c r="D113" s="1135">
        <v>0</v>
      </c>
      <c r="E113" s="1080">
        <v>0</v>
      </c>
      <c r="F113" s="1158">
        <v>0</v>
      </c>
      <c r="G113" s="1158">
        <v>0</v>
      </c>
      <c r="H113" s="1082">
        <v>0</v>
      </c>
      <c r="I113" s="1165">
        <v>0</v>
      </c>
      <c r="J113" s="1162">
        <v>0</v>
      </c>
      <c r="K113" s="1162"/>
      <c r="L113" s="1166"/>
      <c r="M113" s="1162">
        <v>0</v>
      </c>
      <c r="N113" s="1166"/>
      <c r="O113" s="1162">
        <v>0</v>
      </c>
      <c r="P113" s="1162">
        <v>0</v>
      </c>
    </row>
    <row r="114" spans="1:16">
      <c r="A114" s="123"/>
      <c r="B114" s="1112" t="s">
        <v>337</v>
      </c>
      <c r="C114" s="1157">
        <v>2022</v>
      </c>
      <c r="D114" s="1135">
        <v>0</v>
      </c>
      <c r="E114" s="1080">
        <v>0</v>
      </c>
      <c r="F114" s="1158">
        <v>0</v>
      </c>
      <c r="G114" s="1158">
        <v>0</v>
      </c>
      <c r="H114" s="1082">
        <v>0</v>
      </c>
      <c r="I114" s="1165">
        <v>0</v>
      </c>
      <c r="J114" s="1162">
        <v>0</v>
      </c>
      <c r="K114" s="1162"/>
      <c r="L114" s="1166"/>
      <c r="M114" s="1162">
        <v>0</v>
      </c>
      <c r="N114" s="1166"/>
      <c r="O114" s="1162">
        <v>0</v>
      </c>
      <c r="P114" s="1162">
        <v>0</v>
      </c>
    </row>
    <row r="115" spans="1:16">
      <c r="A115" s="123"/>
      <c r="B115" s="1112" t="s">
        <v>337</v>
      </c>
      <c r="C115" s="1157">
        <v>2023</v>
      </c>
      <c r="D115" s="1135">
        <v>0</v>
      </c>
      <c r="E115" s="1080">
        <v>0</v>
      </c>
      <c r="F115" s="1158">
        <v>0</v>
      </c>
      <c r="G115" s="1158">
        <v>0</v>
      </c>
      <c r="H115" s="1082">
        <v>0</v>
      </c>
      <c r="I115" s="1165">
        <v>0</v>
      </c>
      <c r="J115" s="1162">
        <v>0</v>
      </c>
      <c r="K115" s="1162"/>
      <c r="L115" s="1166"/>
      <c r="M115" s="1162">
        <v>0</v>
      </c>
      <c r="N115" s="1166"/>
      <c r="O115" s="1162">
        <v>0</v>
      </c>
      <c r="P115" s="1162">
        <v>0</v>
      </c>
    </row>
    <row r="116" spans="1:16">
      <c r="A116" s="123"/>
      <c r="B116" s="1112" t="s">
        <v>337</v>
      </c>
      <c r="C116" s="1157">
        <v>2024</v>
      </c>
      <c r="D116" s="1135">
        <v>0</v>
      </c>
      <c r="E116" s="1080">
        <v>0</v>
      </c>
      <c r="F116" s="1158">
        <v>0</v>
      </c>
      <c r="G116" s="1158">
        <v>0</v>
      </c>
      <c r="H116" s="1082">
        <v>0</v>
      </c>
      <c r="I116" s="1165">
        <v>0</v>
      </c>
      <c r="J116" s="1162">
        <v>0</v>
      </c>
      <c r="K116" s="1162"/>
      <c r="L116" s="1166"/>
      <c r="M116" s="1162">
        <v>0</v>
      </c>
      <c r="N116" s="1166"/>
      <c r="O116" s="1162">
        <v>0</v>
      </c>
      <c r="P116" s="1162">
        <v>0</v>
      </c>
    </row>
    <row r="117" spans="1:16">
      <c r="A117" s="123"/>
      <c r="B117" s="1112" t="s">
        <v>337</v>
      </c>
      <c r="C117" s="1157">
        <v>2025</v>
      </c>
      <c r="D117" s="1135">
        <v>0</v>
      </c>
      <c r="E117" s="1080">
        <v>0</v>
      </c>
      <c r="F117" s="1158">
        <v>0</v>
      </c>
      <c r="G117" s="1158">
        <v>0</v>
      </c>
      <c r="H117" s="1082">
        <v>0</v>
      </c>
      <c r="I117" s="1165">
        <v>0</v>
      </c>
      <c r="J117" s="1162">
        <v>0</v>
      </c>
      <c r="K117" s="1162"/>
      <c r="L117" s="1166"/>
      <c r="M117" s="1162">
        <v>0</v>
      </c>
      <c r="N117" s="1166"/>
      <c r="O117" s="1162">
        <v>0</v>
      </c>
      <c r="P117" s="1162">
        <v>0</v>
      </c>
    </row>
    <row r="118" spans="1:16">
      <c r="A118" s="123"/>
      <c r="B118" s="1112" t="s">
        <v>337</v>
      </c>
      <c r="C118" s="1157">
        <v>2026</v>
      </c>
      <c r="D118" s="1135">
        <v>0</v>
      </c>
      <c r="E118" s="1080">
        <v>0</v>
      </c>
      <c r="F118" s="1158">
        <v>0</v>
      </c>
      <c r="G118" s="1158">
        <v>0</v>
      </c>
      <c r="H118" s="1082">
        <v>0</v>
      </c>
      <c r="I118" s="1165">
        <v>0</v>
      </c>
      <c r="J118" s="1162">
        <v>0</v>
      </c>
      <c r="K118" s="1162"/>
      <c r="L118" s="1166"/>
      <c r="M118" s="1162">
        <v>0</v>
      </c>
      <c r="N118" s="1166"/>
      <c r="O118" s="1162">
        <v>0</v>
      </c>
      <c r="P118" s="1162">
        <v>0</v>
      </c>
    </row>
    <row r="119" spans="1:16">
      <c r="B119" s="1112" t="s">
        <v>337</v>
      </c>
      <c r="C119" s="1157">
        <v>2027</v>
      </c>
      <c r="D119" s="1135">
        <v>0</v>
      </c>
      <c r="E119" s="1080">
        <v>0</v>
      </c>
      <c r="F119" s="1158">
        <v>0</v>
      </c>
      <c r="G119" s="1158">
        <v>0</v>
      </c>
      <c r="H119" s="1082">
        <v>0</v>
      </c>
      <c r="I119" s="1165">
        <v>0</v>
      </c>
      <c r="J119" s="1162">
        <v>0</v>
      </c>
      <c r="K119" s="1162"/>
      <c r="L119" s="1166"/>
      <c r="M119" s="1162">
        <v>0</v>
      </c>
      <c r="N119" s="1166"/>
      <c r="O119" s="1162">
        <v>0</v>
      </c>
      <c r="P119" s="1162">
        <v>0</v>
      </c>
    </row>
    <row r="120" spans="1:16">
      <c r="B120" s="1112" t="s">
        <v>337</v>
      </c>
      <c r="C120" s="1157">
        <v>2028</v>
      </c>
      <c r="D120" s="1135">
        <v>0</v>
      </c>
      <c r="E120" s="1080">
        <v>0</v>
      </c>
      <c r="F120" s="1158">
        <v>0</v>
      </c>
      <c r="G120" s="1158">
        <v>0</v>
      </c>
      <c r="H120" s="1082">
        <v>0</v>
      </c>
      <c r="I120" s="1165">
        <v>0</v>
      </c>
      <c r="J120" s="1162">
        <v>0</v>
      </c>
      <c r="K120" s="1162"/>
      <c r="L120" s="1166"/>
      <c r="M120" s="1162">
        <v>0</v>
      </c>
      <c r="N120" s="1166"/>
      <c r="O120" s="1162">
        <v>0</v>
      </c>
      <c r="P120" s="1162">
        <v>0</v>
      </c>
    </row>
    <row r="121" spans="1:16">
      <c r="B121" s="1112" t="s">
        <v>337</v>
      </c>
      <c r="C121" s="1157">
        <v>2029</v>
      </c>
      <c r="D121" s="1135">
        <v>0</v>
      </c>
      <c r="E121" s="1080">
        <v>0</v>
      </c>
      <c r="F121" s="1158">
        <v>0</v>
      </c>
      <c r="G121" s="1158">
        <v>0</v>
      </c>
      <c r="H121" s="1082">
        <v>0</v>
      </c>
      <c r="I121" s="1165">
        <v>0</v>
      </c>
      <c r="J121" s="1162">
        <v>0</v>
      </c>
      <c r="K121" s="1162"/>
      <c r="L121" s="1166"/>
      <c r="M121" s="1162">
        <v>0</v>
      </c>
      <c r="N121" s="1166"/>
      <c r="O121" s="1162">
        <v>0</v>
      </c>
      <c r="P121" s="1162">
        <v>0</v>
      </c>
    </row>
    <row r="122" spans="1:16">
      <c r="B122" s="1112" t="s">
        <v>337</v>
      </c>
      <c r="C122" s="1157">
        <v>2030</v>
      </c>
      <c r="D122" s="1135">
        <v>0</v>
      </c>
      <c r="E122" s="1080">
        <v>0</v>
      </c>
      <c r="F122" s="1158">
        <v>0</v>
      </c>
      <c r="G122" s="1158">
        <v>0</v>
      </c>
      <c r="H122" s="1082">
        <v>0</v>
      </c>
      <c r="I122" s="1165">
        <v>0</v>
      </c>
      <c r="J122" s="1162">
        <v>0</v>
      </c>
      <c r="K122" s="1162"/>
      <c r="L122" s="1166"/>
      <c r="M122" s="1162">
        <v>0</v>
      </c>
      <c r="N122" s="1166"/>
      <c r="O122" s="1162">
        <v>0</v>
      </c>
      <c r="P122" s="1162">
        <v>0</v>
      </c>
    </row>
    <row r="123" spans="1:16">
      <c r="B123" s="1112" t="s">
        <v>337</v>
      </c>
      <c r="C123" s="1157">
        <v>2031</v>
      </c>
      <c r="D123" s="1135">
        <v>0</v>
      </c>
      <c r="E123" s="1080">
        <v>0</v>
      </c>
      <c r="F123" s="1158">
        <v>0</v>
      </c>
      <c r="G123" s="1158">
        <v>0</v>
      </c>
      <c r="H123" s="1082">
        <v>0</v>
      </c>
      <c r="I123" s="1165">
        <v>0</v>
      </c>
      <c r="J123" s="1162">
        <v>0</v>
      </c>
      <c r="K123" s="1162"/>
      <c r="L123" s="1166"/>
      <c r="M123" s="1162">
        <v>0</v>
      </c>
      <c r="N123" s="1166"/>
      <c r="O123" s="1162">
        <v>0</v>
      </c>
      <c r="P123" s="1162">
        <v>0</v>
      </c>
    </row>
    <row r="124" spans="1:16">
      <c r="B124" s="1112" t="s">
        <v>337</v>
      </c>
      <c r="C124" s="1157">
        <v>2032</v>
      </c>
      <c r="D124" s="1135">
        <v>0</v>
      </c>
      <c r="E124" s="1080">
        <v>0</v>
      </c>
      <c r="F124" s="1158">
        <v>0</v>
      </c>
      <c r="G124" s="1158">
        <v>0</v>
      </c>
      <c r="H124" s="1082">
        <v>0</v>
      </c>
      <c r="I124" s="1165">
        <v>0</v>
      </c>
      <c r="J124" s="1162">
        <v>0</v>
      </c>
      <c r="K124" s="1162"/>
      <c r="L124" s="1166"/>
      <c r="M124" s="1162">
        <v>0</v>
      </c>
      <c r="N124" s="1166"/>
      <c r="O124" s="1162">
        <v>0</v>
      </c>
      <c r="P124" s="1162">
        <v>0</v>
      </c>
    </row>
    <row r="125" spans="1:16">
      <c r="B125" s="1112" t="s">
        <v>337</v>
      </c>
      <c r="C125" s="1157">
        <v>2033</v>
      </c>
      <c r="D125" s="1135">
        <v>0</v>
      </c>
      <c r="E125" s="1080">
        <v>0</v>
      </c>
      <c r="F125" s="1158">
        <v>0</v>
      </c>
      <c r="G125" s="1158">
        <v>0</v>
      </c>
      <c r="H125" s="1082">
        <v>0</v>
      </c>
      <c r="I125" s="1165">
        <v>0</v>
      </c>
      <c r="J125" s="1162">
        <v>0</v>
      </c>
      <c r="K125" s="1162"/>
      <c r="L125" s="1166"/>
      <c r="M125" s="1162">
        <v>0</v>
      </c>
      <c r="N125" s="1166"/>
      <c r="O125" s="1162">
        <v>0</v>
      </c>
      <c r="P125" s="1162">
        <v>0</v>
      </c>
    </row>
    <row r="126" spans="1:16">
      <c r="B126" s="1112" t="s">
        <v>337</v>
      </c>
      <c r="C126" s="1157">
        <v>2034</v>
      </c>
      <c r="D126" s="1135">
        <v>0</v>
      </c>
      <c r="E126" s="1080">
        <v>0</v>
      </c>
      <c r="F126" s="1158">
        <v>0</v>
      </c>
      <c r="G126" s="1158">
        <v>0</v>
      </c>
      <c r="H126" s="1082">
        <v>0</v>
      </c>
      <c r="I126" s="1165">
        <v>0</v>
      </c>
      <c r="J126" s="1162">
        <v>0</v>
      </c>
      <c r="K126" s="1162"/>
      <c r="L126" s="1166"/>
      <c r="M126" s="1162">
        <v>0</v>
      </c>
      <c r="N126" s="1166"/>
      <c r="O126" s="1162">
        <v>0</v>
      </c>
      <c r="P126" s="1162">
        <v>0</v>
      </c>
    </row>
    <row r="127" spans="1:16">
      <c r="B127" s="1112" t="s">
        <v>337</v>
      </c>
      <c r="C127" s="1157">
        <v>2035</v>
      </c>
      <c r="D127" s="1135">
        <v>0</v>
      </c>
      <c r="E127" s="1080">
        <v>0</v>
      </c>
      <c r="F127" s="1158">
        <v>0</v>
      </c>
      <c r="G127" s="1158">
        <v>0</v>
      </c>
      <c r="H127" s="1082">
        <v>0</v>
      </c>
      <c r="I127" s="1165">
        <v>0</v>
      </c>
      <c r="J127" s="1162">
        <v>0</v>
      </c>
      <c r="K127" s="1162"/>
      <c r="L127" s="1166"/>
      <c r="M127" s="1162">
        <v>0</v>
      </c>
      <c r="N127" s="1166"/>
      <c r="O127" s="1162">
        <v>0</v>
      </c>
      <c r="P127" s="1162">
        <v>0</v>
      </c>
    </row>
    <row r="128" spans="1:16">
      <c r="B128" s="1112" t="s">
        <v>337</v>
      </c>
      <c r="C128" s="1157">
        <v>2036</v>
      </c>
      <c r="D128" s="1135">
        <v>0</v>
      </c>
      <c r="E128" s="1080">
        <v>0</v>
      </c>
      <c r="F128" s="1158">
        <v>0</v>
      </c>
      <c r="G128" s="1158">
        <v>0</v>
      </c>
      <c r="H128" s="1082">
        <v>0</v>
      </c>
      <c r="I128" s="1165">
        <v>0</v>
      </c>
      <c r="J128" s="1162">
        <v>0</v>
      </c>
      <c r="K128" s="1162"/>
      <c r="L128" s="1166"/>
      <c r="M128" s="1162">
        <v>0</v>
      </c>
      <c r="N128" s="1166"/>
      <c r="O128" s="1162">
        <v>0</v>
      </c>
      <c r="P128" s="1162">
        <v>0</v>
      </c>
    </row>
    <row r="129" spans="2:18">
      <c r="B129" s="1112" t="s">
        <v>337</v>
      </c>
      <c r="C129" s="1157">
        <v>2037</v>
      </c>
      <c r="D129" s="1135">
        <v>0</v>
      </c>
      <c r="E129" s="1080">
        <v>0</v>
      </c>
      <c r="F129" s="1158">
        <v>0</v>
      </c>
      <c r="G129" s="1158">
        <v>0</v>
      </c>
      <c r="H129" s="1082">
        <v>0</v>
      </c>
      <c r="I129" s="1165">
        <v>0</v>
      </c>
      <c r="J129" s="1162">
        <v>0</v>
      </c>
      <c r="K129" s="1162"/>
      <c r="L129" s="1166"/>
      <c r="M129" s="1162">
        <v>0</v>
      </c>
      <c r="N129" s="1166"/>
      <c r="O129" s="1162">
        <v>0</v>
      </c>
      <c r="P129" s="1162">
        <v>0</v>
      </c>
    </row>
    <row r="130" spans="2:18">
      <c r="B130" s="1112" t="s">
        <v>337</v>
      </c>
      <c r="C130" s="1157">
        <v>2038</v>
      </c>
      <c r="D130" s="1135">
        <v>0</v>
      </c>
      <c r="E130" s="1080">
        <v>0</v>
      </c>
      <c r="F130" s="1158">
        <v>0</v>
      </c>
      <c r="G130" s="1158">
        <v>0</v>
      </c>
      <c r="H130" s="1082">
        <v>0</v>
      </c>
      <c r="I130" s="1165">
        <v>0</v>
      </c>
      <c r="J130" s="1162">
        <v>0</v>
      </c>
      <c r="K130" s="1162"/>
      <c r="L130" s="1166"/>
      <c r="M130" s="1162">
        <v>0</v>
      </c>
      <c r="N130" s="1166"/>
      <c r="O130" s="1162">
        <v>0</v>
      </c>
      <c r="P130" s="1162">
        <v>0</v>
      </c>
    </row>
    <row r="131" spans="2:18">
      <c r="B131" s="1112" t="s">
        <v>337</v>
      </c>
      <c r="C131" s="1157">
        <v>2039</v>
      </c>
      <c r="D131" s="1135">
        <v>0</v>
      </c>
      <c r="E131" s="1080">
        <v>0</v>
      </c>
      <c r="F131" s="1158">
        <v>0</v>
      </c>
      <c r="G131" s="1158">
        <v>0</v>
      </c>
      <c r="H131" s="1082">
        <v>0</v>
      </c>
      <c r="I131" s="1165">
        <v>0</v>
      </c>
      <c r="J131" s="1162">
        <v>0</v>
      </c>
      <c r="K131" s="1162"/>
      <c r="L131" s="1166"/>
      <c r="M131" s="1162">
        <v>0</v>
      </c>
      <c r="N131" s="1166"/>
      <c r="O131" s="1162">
        <v>0</v>
      </c>
      <c r="P131" s="1162">
        <v>0</v>
      </c>
    </row>
    <row r="132" spans="2:18">
      <c r="B132" s="1112" t="s">
        <v>337</v>
      </c>
      <c r="C132" s="1157">
        <v>2040</v>
      </c>
      <c r="D132" s="1135">
        <v>0</v>
      </c>
      <c r="E132" s="1080">
        <v>0</v>
      </c>
      <c r="F132" s="1158">
        <v>0</v>
      </c>
      <c r="G132" s="1158">
        <v>0</v>
      </c>
      <c r="H132" s="1082">
        <v>0</v>
      </c>
      <c r="I132" s="1165">
        <v>0</v>
      </c>
      <c r="J132" s="1162">
        <v>0</v>
      </c>
      <c r="K132" s="1162"/>
      <c r="L132" s="1166"/>
      <c r="M132" s="1162">
        <v>0</v>
      </c>
      <c r="N132" s="1166"/>
      <c r="O132" s="1162">
        <v>0</v>
      </c>
      <c r="P132" s="1162">
        <v>0</v>
      </c>
      <c r="R132" s="927"/>
    </row>
    <row r="133" spans="2:18">
      <c r="B133" s="1112" t="s">
        <v>337</v>
      </c>
      <c r="C133" s="1157">
        <v>2041</v>
      </c>
      <c r="D133" s="1135">
        <v>0</v>
      </c>
      <c r="E133" s="1080">
        <v>0</v>
      </c>
      <c r="F133" s="1158">
        <v>0</v>
      </c>
      <c r="G133" s="1158">
        <v>0</v>
      </c>
      <c r="H133" s="1082">
        <v>0</v>
      </c>
      <c r="I133" s="1165">
        <v>0</v>
      </c>
      <c r="J133" s="1162">
        <v>0</v>
      </c>
      <c r="K133" s="1162"/>
      <c r="L133" s="1166"/>
      <c r="M133" s="1162">
        <v>0</v>
      </c>
      <c r="N133" s="1166"/>
      <c r="O133" s="1162">
        <v>0</v>
      </c>
      <c r="P133" s="1162">
        <v>0</v>
      </c>
    </row>
    <row r="134" spans="2:18">
      <c r="B134" s="1112" t="s">
        <v>337</v>
      </c>
      <c r="C134" s="1157">
        <v>2042</v>
      </c>
      <c r="D134" s="1135">
        <v>0</v>
      </c>
      <c r="E134" s="1080">
        <v>0</v>
      </c>
      <c r="F134" s="1158">
        <v>0</v>
      </c>
      <c r="G134" s="1158">
        <v>0</v>
      </c>
      <c r="H134" s="1082">
        <v>0</v>
      </c>
      <c r="I134" s="1165">
        <v>0</v>
      </c>
      <c r="J134" s="1162">
        <v>0</v>
      </c>
      <c r="K134" s="1162"/>
      <c r="L134" s="1166"/>
      <c r="M134" s="1162">
        <v>0</v>
      </c>
      <c r="N134" s="1166"/>
      <c r="O134" s="1162">
        <v>0</v>
      </c>
      <c r="P134" s="1162">
        <v>0</v>
      </c>
    </row>
    <row r="135" spans="2:18">
      <c r="B135" s="1112" t="s">
        <v>337</v>
      </c>
      <c r="C135" s="1157">
        <v>2043</v>
      </c>
      <c r="D135" s="1135">
        <v>0</v>
      </c>
      <c r="E135" s="1080">
        <v>0</v>
      </c>
      <c r="F135" s="1158">
        <v>0</v>
      </c>
      <c r="G135" s="1158">
        <v>0</v>
      </c>
      <c r="H135" s="1082">
        <v>0</v>
      </c>
      <c r="I135" s="1165">
        <v>0</v>
      </c>
      <c r="J135" s="1162">
        <v>0</v>
      </c>
      <c r="K135" s="1162"/>
      <c r="L135" s="1166"/>
      <c r="M135" s="1162">
        <v>0</v>
      </c>
      <c r="N135" s="1166"/>
      <c r="O135" s="1162">
        <v>0</v>
      </c>
      <c r="P135" s="1162">
        <v>0</v>
      </c>
    </row>
    <row r="136" spans="2:18">
      <c r="B136" s="1112" t="s">
        <v>337</v>
      </c>
      <c r="C136" s="1157">
        <v>2044</v>
      </c>
      <c r="D136" s="1135">
        <v>0</v>
      </c>
      <c r="E136" s="1080">
        <v>0</v>
      </c>
      <c r="F136" s="1158">
        <v>0</v>
      </c>
      <c r="G136" s="1158">
        <v>0</v>
      </c>
      <c r="H136" s="1082">
        <v>0</v>
      </c>
      <c r="I136" s="1165">
        <v>0</v>
      </c>
      <c r="J136" s="1162">
        <v>0</v>
      </c>
      <c r="K136" s="1162"/>
      <c r="L136" s="1166"/>
      <c r="M136" s="1162">
        <v>0</v>
      </c>
      <c r="N136" s="1166"/>
      <c r="O136" s="1162">
        <v>0</v>
      </c>
      <c r="P136" s="1162">
        <v>0</v>
      </c>
    </row>
    <row r="137" spans="2:18">
      <c r="B137" s="1112" t="s">
        <v>337</v>
      </c>
      <c r="C137" s="1157">
        <v>2045</v>
      </c>
      <c r="D137" s="1135">
        <v>0</v>
      </c>
      <c r="E137" s="1080">
        <v>0</v>
      </c>
      <c r="F137" s="1158">
        <v>0</v>
      </c>
      <c r="G137" s="1158">
        <v>0</v>
      </c>
      <c r="H137" s="1082">
        <v>0</v>
      </c>
      <c r="I137" s="1165">
        <v>0</v>
      </c>
      <c r="J137" s="1162">
        <v>0</v>
      </c>
      <c r="K137" s="1162"/>
      <c r="L137" s="1166"/>
      <c r="M137" s="1162">
        <v>0</v>
      </c>
      <c r="N137" s="1166"/>
      <c r="O137" s="1162">
        <v>0</v>
      </c>
      <c r="P137" s="1162">
        <v>0</v>
      </c>
    </row>
    <row r="138" spans="2:18">
      <c r="B138" s="1112" t="s">
        <v>337</v>
      </c>
      <c r="C138" s="1157">
        <v>2046</v>
      </c>
      <c r="D138" s="1135">
        <v>0</v>
      </c>
      <c r="E138" s="1080">
        <v>0</v>
      </c>
      <c r="F138" s="1158">
        <v>0</v>
      </c>
      <c r="G138" s="1158">
        <v>0</v>
      </c>
      <c r="H138" s="1082">
        <v>0</v>
      </c>
      <c r="I138" s="1165">
        <v>0</v>
      </c>
      <c r="J138" s="1162">
        <v>0</v>
      </c>
      <c r="K138" s="1162"/>
      <c r="L138" s="1166"/>
      <c r="M138" s="1162">
        <v>0</v>
      </c>
      <c r="N138" s="1166"/>
      <c r="O138" s="1162">
        <v>0</v>
      </c>
      <c r="P138" s="1162">
        <v>0</v>
      </c>
    </row>
    <row r="139" spans="2:18">
      <c r="B139" s="1112" t="s">
        <v>337</v>
      </c>
      <c r="C139" s="1157">
        <v>2047</v>
      </c>
      <c r="D139" s="1135">
        <v>0</v>
      </c>
      <c r="E139" s="1080">
        <v>0</v>
      </c>
      <c r="F139" s="1158">
        <v>0</v>
      </c>
      <c r="G139" s="1158">
        <v>0</v>
      </c>
      <c r="H139" s="1082">
        <v>0</v>
      </c>
      <c r="I139" s="1165">
        <v>0</v>
      </c>
      <c r="J139" s="1162">
        <v>0</v>
      </c>
      <c r="K139" s="1162"/>
      <c r="L139" s="1166"/>
      <c r="M139" s="1162">
        <v>0</v>
      </c>
      <c r="N139" s="1166"/>
      <c r="O139" s="1162">
        <v>0</v>
      </c>
      <c r="P139" s="1162">
        <v>0</v>
      </c>
    </row>
    <row r="140" spans="2:18">
      <c r="B140" s="1112" t="s">
        <v>337</v>
      </c>
      <c r="C140" s="1157">
        <v>2048</v>
      </c>
      <c r="D140" s="1135">
        <v>0</v>
      </c>
      <c r="E140" s="1080">
        <v>0</v>
      </c>
      <c r="F140" s="1158">
        <v>0</v>
      </c>
      <c r="G140" s="1158">
        <v>0</v>
      </c>
      <c r="H140" s="1082">
        <v>0</v>
      </c>
      <c r="I140" s="1165">
        <v>0</v>
      </c>
      <c r="J140" s="1162">
        <v>0</v>
      </c>
      <c r="K140" s="1162"/>
      <c r="L140" s="1166"/>
      <c r="M140" s="1162">
        <v>0</v>
      </c>
      <c r="N140" s="1166"/>
      <c r="O140" s="1162">
        <v>0</v>
      </c>
      <c r="P140" s="1162">
        <v>0</v>
      </c>
    </row>
    <row r="141" spans="2:18">
      <c r="B141" s="1112" t="s">
        <v>337</v>
      </c>
      <c r="C141" s="1157">
        <v>2049</v>
      </c>
      <c r="D141" s="1135">
        <v>0</v>
      </c>
      <c r="E141" s="1080">
        <v>0</v>
      </c>
      <c r="F141" s="1158">
        <v>0</v>
      </c>
      <c r="G141" s="1158">
        <v>0</v>
      </c>
      <c r="H141" s="1082">
        <v>0</v>
      </c>
      <c r="I141" s="1165">
        <v>0</v>
      </c>
      <c r="J141" s="1162">
        <v>0</v>
      </c>
      <c r="K141" s="1162"/>
      <c r="L141" s="1166"/>
      <c r="M141" s="1162">
        <v>0</v>
      </c>
      <c r="N141" s="1166"/>
      <c r="O141" s="1162">
        <v>0</v>
      </c>
      <c r="P141" s="1162">
        <v>0</v>
      </c>
    </row>
    <row r="142" spans="2:18">
      <c r="B142" s="1112" t="s">
        <v>337</v>
      </c>
      <c r="C142" s="1157">
        <v>2050</v>
      </c>
      <c r="D142" s="1135">
        <v>0</v>
      </c>
      <c r="E142" s="1080">
        <v>0</v>
      </c>
      <c r="F142" s="1158">
        <v>0</v>
      </c>
      <c r="G142" s="1158">
        <v>0</v>
      </c>
      <c r="H142" s="1082">
        <v>0</v>
      </c>
      <c r="I142" s="1165">
        <v>0</v>
      </c>
      <c r="J142" s="1162">
        <v>0</v>
      </c>
      <c r="K142" s="1162"/>
      <c r="L142" s="1166"/>
      <c r="M142" s="1162">
        <v>0</v>
      </c>
      <c r="N142" s="1166"/>
      <c r="O142" s="1162">
        <v>0</v>
      </c>
      <c r="P142" s="1162">
        <v>0</v>
      </c>
    </row>
    <row r="143" spans="2:18">
      <c r="B143" s="1112" t="s">
        <v>337</v>
      </c>
      <c r="C143" s="1157">
        <v>2051</v>
      </c>
      <c r="D143" s="1135">
        <v>0</v>
      </c>
      <c r="E143" s="1080">
        <v>0</v>
      </c>
      <c r="F143" s="1158">
        <v>0</v>
      </c>
      <c r="G143" s="1158">
        <v>0</v>
      </c>
      <c r="H143" s="1082">
        <v>0</v>
      </c>
      <c r="I143" s="1165">
        <v>0</v>
      </c>
      <c r="J143" s="1162">
        <v>0</v>
      </c>
      <c r="K143" s="1162"/>
      <c r="L143" s="1166"/>
      <c r="M143" s="1162">
        <v>0</v>
      </c>
      <c r="N143" s="1166"/>
      <c r="O143" s="1162">
        <v>0</v>
      </c>
      <c r="P143" s="1162">
        <v>0</v>
      </c>
    </row>
    <row r="144" spans="2:18">
      <c r="B144" s="1112" t="s">
        <v>337</v>
      </c>
      <c r="C144" s="1157">
        <v>2052</v>
      </c>
      <c r="D144" s="1135">
        <v>0</v>
      </c>
      <c r="E144" s="1080">
        <v>0</v>
      </c>
      <c r="F144" s="1158">
        <v>0</v>
      </c>
      <c r="G144" s="1158">
        <v>0</v>
      </c>
      <c r="H144" s="1082">
        <v>0</v>
      </c>
      <c r="I144" s="1165">
        <v>0</v>
      </c>
      <c r="J144" s="1162">
        <v>0</v>
      </c>
      <c r="K144" s="1162"/>
      <c r="L144" s="1166"/>
      <c r="M144" s="1162">
        <v>0</v>
      </c>
      <c r="N144" s="1166"/>
      <c r="O144" s="1162">
        <v>0</v>
      </c>
      <c r="P144" s="1162">
        <v>0</v>
      </c>
    </row>
    <row r="145" spans="2:16">
      <c r="B145" s="1112" t="s">
        <v>337</v>
      </c>
      <c r="C145" s="1157">
        <v>2053</v>
      </c>
      <c r="D145" s="1135">
        <v>0</v>
      </c>
      <c r="E145" s="1080">
        <v>0</v>
      </c>
      <c r="F145" s="1158">
        <v>0</v>
      </c>
      <c r="G145" s="1158">
        <v>0</v>
      </c>
      <c r="H145" s="1082">
        <v>0</v>
      </c>
      <c r="I145" s="1165">
        <v>0</v>
      </c>
      <c r="J145" s="1162">
        <v>0</v>
      </c>
      <c r="K145" s="1162"/>
      <c r="L145" s="1166"/>
      <c r="M145" s="1162">
        <v>0</v>
      </c>
      <c r="N145" s="1166"/>
      <c r="O145" s="1162">
        <v>0</v>
      </c>
      <c r="P145" s="1162">
        <v>0</v>
      </c>
    </row>
    <row r="146" spans="2:16">
      <c r="B146" s="1112" t="s">
        <v>337</v>
      </c>
      <c r="C146" s="1157">
        <v>2054</v>
      </c>
      <c r="D146" s="1135">
        <v>0</v>
      </c>
      <c r="E146" s="1080">
        <v>0</v>
      </c>
      <c r="F146" s="1158">
        <v>0</v>
      </c>
      <c r="G146" s="1158">
        <v>0</v>
      </c>
      <c r="H146" s="1082">
        <v>0</v>
      </c>
      <c r="I146" s="1165">
        <v>0</v>
      </c>
      <c r="J146" s="1162">
        <v>0</v>
      </c>
      <c r="K146" s="1162"/>
      <c r="L146" s="1166"/>
      <c r="M146" s="1162">
        <v>0</v>
      </c>
      <c r="N146" s="1166"/>
      <c r="O146" s="1162">
        <v>0</v>
      </c>
      <c r="P146" s="1162">
        <v>0</v>
      </c>
    </row>
    <row r="147" spans="2:16">
      <c r="B147" s="1112" t="s">
        <v>337</v>
      </c>
      <c r="C147" s="1157">
        <v>2055</v>
      </c>
      <c r="D147" s="1135">
        <v>0</v>
      </c>
      <c r="E147" s="1080">
        <v>0</v>
      </c>
      <c r="F147" s="1158">
        <v>0</v>
      </c>
      <c r="G147" s="1158">
        <v>0</v>
      </c>
      <c r="H147" s="1082">
        <v>0</v>
      </c>
      <c r="I147" s="1165">
        <v>0</v>
      </c>
      <c r="J147" s="1162">
        <v>0</v>
      </c>
      <c r="K147" s="1162"/>
      <c r="L147" s="1166"/>
      <c r="M147" s="1162">
        <v>0</v>
      </c>
      <c r="N147" s="1166"/>
      <c r="O147" s="1162">
        <v>0</v>
      </c>
      <c r="P147" s="1162">
        <v>0</v>
      </c>
    </row>
    <row r="148" spans="2:16">
      <c r="B148" s="1112" t="s">
        <v>337</v>
      </c>
      <c r="C148" s="1157">
        <v>2056</v>
      </c>
      <c r="D148" s="1135">
        <v>0</v>
      </c>
      <c r="E148" s="1080">
        <v>0</v>
      </c>
      <c r="F148" s="1158">
        <v>0</v>
      </c>
      <c r="G148" s="1158">
        <v>0</v>
      </c>
      <c r="H148" s="1082">
        <v>0</v>
      </c>
      <c r="I148" s="1165">
        <v>0</v>
      </c>
      <c r="J148" s="1162">
        <v>0</v>
      </c>
      <c r="K148" s="1162"/>
      <c r="L148" s="1166"/>
      <c r="M148" s="1162">
        <v>0</v>
      </c>
      <c r="N148" s="1166"/>
      <c r="O148" s="1162">
        <v>0</v>
      </c>
      <c r="P148" s="1162">
        <v>0</v>
      </c>
    </row>
    <row r="149" spans="2:16">
      <c r="B149" s="1112" t="s">
        <v>337</v>
      </c>
      <c r="C149" s="1157">
        <v>2057</v>
      </c>
      <c r="D149" s="1135">
        <v>0</v>
      </c>
      <c r="E149" s="1080">
        <v>0</v>
      </c>
      <c r="F149" s="1158">
        <v>0</v>
      </c>
      <c r="G149" s="1158">
        <v>0</v>
      </c>
      <c r="H149" s="1082">
        <v>0</v>
      </c>
      <c r="I149" s="1165">
        <v>0</v>
      </c>
      <c r="J149" s="1162">
        <v>0</v>
      </c>
      <c r="K149" s="1162"/>
      <c r="L149" s="1166"/>
      <c r="M149" s="1162">
        <v>0</v>
      </c>
      <c r="N149" s="1166"/>
      <c r="O149" s="1162">
        <v>0</v>
      </c>
      <c r="P149" s="1162">
        <v>0</v>
      </c>
    </row>
    <row r="150" spans="2:16">
      <c r="B150" s="1112" t="s">
        <v>337</v>
      </c>
      <c r="C150" s="1157">
        <v>2058</v>
      </c>
      <c r="D150" s="1135">
        <v>0</v>
      </c>
      <c r="E150" s="1080">
        <v>0</v>
      </c>
      <c r="F150" s="1158">
        <v>0</v>
      </c>
      <c r="G150" s="1158">
        <v>0</v>
      </c>
      <c r="H150" s="1082">
        <v>0</v>
      </c>
      <c r="I150" s="1165">
        <v>0</v>
      </c>
      <c r="J150" s="1162">
        <v>0</v>
      </c>
      <c r="K150" s="1162"/>
      <c r="L150" s="1166"/>
      <c r="M150" s="1162">
        <v>0</v>
      </c>
      <c r="N150" s="1166"/>
      <c r="O150" s="1162">
        <v>0</v>
      </c>
      <c r="P150" s="1162">
        <v>0</v>
      </c>
    </row>
    <row r="151" spans="2:16">
      <c r="B151" s="1112" t="s">
        <v>337</v>
      </c>
      <c r="C151" s="1157">
        <v>2059</v>
      </c>
      <c r="D151" s="1135">
        <v>0</v>
      </c>
      <c r="E151" s="1080">
        <v>0</v>
      </c>
      <c r="F151" s="1158">
        <v>0</v>
      </c>
      <c r="G151" s="1158">
        <v>0</v>
      </c>
      <c r="H151" s="1082">
        <v>0</v>
      </c>
      <c r="I151" s="1165">
        <v>0</v>
      </c>
      <c r="J151" s="1162">
        <v>0</v>
      </c>
      <c r="K151" s="1162"/>
      <c r="L151" s="1166"/>
      <c r="M151" s="1162">
        <v>0</v>
      </c>
      <c r="N151" s="1166"/>
      <c r="O151" s="1162">
        <v>0</v>
      </c>
      <c r="P151" s="1162">
        <v>0</v>
      </c>
    </row>
    <row r="152" spans="2:16">
      <c r="B152" s="1112" t="s">
        <v>337</v>
      </c>
      <c r="C152" s="1157">
        <v>2060</v>
      </c>
      <c r="D152" s="1135">
        <v>0</v>
      </c>
      <c r="E152" s="1080">
        <v>0</v>
      </c>
      <c r="F152" s="1158">
        <v>0</v>
      </c>
      <c r="G152" s="1158">
        <v>0</v>
      </c>
      <c r="H152" s="1082">
        <v>0</v>
      </c>
      <c r="I152" s="1165">
        <v>0</v>
      </c>
      <c r="J152" s="1162">
        <v>0</v>
      </c>
      <c r="K152" s="1162"/>
      <c r="L152" s="1166"/>
      <c r="M152" s="1162">
        <v>0</v>
      </c>
      <c r="N152" s="1166"/>
      <c r="O152" s="1162">
        <v>0</v>
      </c>
      <c r="P152" s="1162">
        <v>0</v>
      </c>
    </row>
    <row r="153" spans="2:16">
      <c r="B153" s="1112" t="s">
        <v>337</v>
      </c>
      <c r="C153" s="1157">
        <v>2061</v>
      </c>
      <c r="D153" s="1135">
        <v>0</v>
      </c>
      <c r="E153" s="1080">
        <v>0</v>
      </c>
      <c r="F153" s="1158">
        <v>0</v>
      </c>
      <c r="G153" s="1158">
        <v>0</v>
      </c>
      <c r="H153" s="1082">
        <v>0</v>
      </c>
      <c r="I153" s="1165">
        <v>0</v>
      </c>
      <c r="J153" s="1162">
        <v>0</v>
      </c>
      <c r="K153" s="1162"/>
      <c r="L153" s="1166"/>
      <c r="M153" s="1162">
        <v>0</v>
      </c>
      <c r="N153" s="1166"/>
      <c r="O153" s="1162">
        <v>0</v>
      </c>
      <c r="P153" s="1162">
        <v>0</v>
      </c>
    </row>
    <row r="154" spans="2:16">
      <c r="B154" s="1112" t="s">
        <v>337</v>
      </c>
      <c r="C154" s="1157">
        <v>2062</v>
      </c>
      <c r="D154" s="1135">
        <v>0</v>
      </c>
      <c r="E154" s="1080">
        <v>0</v>
      </c>
      <c r="F154" s="1158">
        <v>0</v>
      </c>
      <c r="G154" s="1158">
        <v>0</v>
      </c>
      <c r="H154" s="1082">
        <v>0</v>
      </c>
      <c r="I154" s="1165">
        <v>0</v>
      </c>
      <c r="J154" s="1162">
        <v>0</v>
      </c>
      <c r="K154" s="1162"/>
      <c r="L154" s="1166"/>
      <c r="M154" s="1162">
        <v>0</v>
      </c>
      <c r="N154" s="1166"/>
      <c r="O154" s="1162">
        <v>0</v>
      </c>
      <c r="P154" s="1162">
        <v>0</v>
      </c>
    </row>
    <row r="155" spans="2:16">
      <c r="B155" s="1112" t="s">
        <v>337</v>
      </c>
      <c r="C155" s="1157">
        <v>2063</v>
      </c>
      <c r="D155" s="1135">
        <v>0</v>
      </c>
      <c r="E155" s="1080">
        <v>0</v>
      </c>
      <c r="F155" s="1158">
        <v>0</v>
      </c>
      <c r="G155" s="1158">
        <v>0</v>
      </c>
      <c r="H155" s="1082">
        <v>0</v>
      </c>
      <c r="I155" s="1165">
        <v>0</v>
      </c>
      <c r="J155" s="1162">
        <v>0</v>
      </c>
      <c r="K155" s="1162"/>
      <c r="L155" s="1166"/>
      <c r="M155" s="1162">
        <v>0</v>
      </c>
      <c r="N155" s="1166"/>
      <c r="O155" s="1162">
        <v>0</v>
      </c>
      <c r="P155" s="1162">
        <v>0</v>
      </c>
    </row>
    <row r="156" spans="2:16">
      <c r="B156" s="1112" t="s">
        <v>337</v>
      </c>
      <c r="C156" s="1157">
        <v>2064</v>
      </c>
      <c r="D156" s="1135">
        <v>0</v>
      </c>
      <c r="E156" s="1080">
        <v>0</v>
      </c>
      <c r="F156" s="1158">
        <v>0</v>
      </c>
      <c r="G156" s="1158">
        <v>0</v>
      </c>
      <c r="H156" s="1082">
        <v>0</v>
      </c>
      <c r="I156" s="1165">
        <v>0</v>
      </c>
      <c r="J156" s="1162">
        <v>0</v>
      </c>
      <c r="K156" s="1162"/>
      <c r="L156" s="1166"/>
      <c r="M156" s="1162">
        <v>0</v>
      </c>
      <c r="N156" s="1166"/>
      <c r="O156" s="1162">
        <v>0</v>
      </c>
      <c r="P156" s="1162">
        <v>0</v>
      </c>
    </row>
    <row r="157" spans="2:16">
      <c r="B157" s="1112" t="s">
        <v>337</v>
      </c>
      <c r="C157" s="1157">
        <v>2065</v>
      </c>
      <c r="D157" s="1135">
        <v>0</v>
      </c>
      <c r="E157" s="1080">
        <v>0</v>
      </c>
      <c r="F157" s="1158">
        <v>0</v>
      </c>
      <c r="G157" s="1158">
        <v>0</v>
      </c>
      <c r="H157" s="1082">
        <v>0</v>
      </c>
      <c r="I157" s="1165">
        <v>0</v>
      </c>
      <c r="J157" s="1162">
        <v>0</v>
      </c>
      <c r="K157" s="1162"/>
      <c r="L157" s="1166"/>
      <c r="M157" s="1162">
        <v>0</v>
      </c>
      <c r="N157" s="1166"/>
      <c r="O157" s="1162">
        <v>0</v>
      </c>
      <c r="P157" s="1162">
        <v>0</v>
      </c>
    </row>
    <row r="158" spans="2:16">
      <c r="B158" s="1112" t="s">
        <v>337</v>
      </c>
      <c r="C158" s="1157">
        <v>2066</v>
      </c>
      <c r="D158" s="1135">
        <v>0</v>
      </c>
      <c r="E158" s="1080">
        <v>0</v>
      </c>
      <c r="F158" s="1158">
        <v>0</v>
      </c>
      <c r="G158" s="1158">
        <v>0</v>
      </c>
      <c r="H158" s="1082">
        <v>0</v>
      </c>
      <c r="I158" s="1165">
        <v>0</v>
      </c>
      <c r="J158" s="1162">
        <v>0</v>
      </c>
      <c r="K158" s="1162"/>
      <c r="L158" s="1166"/>
      <c r="M158" s="1162">
        <v>0</v>
      </c>
      <c r="N158" s="1166"/>
      <c r="O158" s="1162">
        <v>0</v>
      </c>
      <c r="P158" s="1162">
        <v>0</v>
      </c>
    </row>
    <row r="159" spans="2:16">
      <c r="B159" s="1112" t="s">
        <v>337</v>
      </c>
      <c r="C159" s="1157">
        <v>2067</v>
      </c>
      <c r="D159" s="1135">
        <v>0</v>
      </c>
      <c r="E159" s="1080">
        <v>0</v>
      </c>
      <c r="F159" s="1158">
        <v>0</v>
      </c>
      <c r="G159" s="1158">
        <v>0</v>
      </c>
      <c r="H159" s="1082">
        <v>0</v>
      </c>
      <c r="I159" s="1165">
        <v>0</v>
      </c>
      <c r="J159" s="1162">
        <v>0</v>
      </c>
      <c r="K159" s="1162"/>
      <c r="L159" s="1166"/>
      <c r="M159" s="1162">
        <v>0</v>
      </c>
      <c r="N159" s="1166"/>
      <c r="O159" s="1162">
        <v>0</v>
      </c>
      <c r="P159" s="1162">
        <v>0</v>
      </c>
    </row>
    <row r="160" spans="2:16" ht="13" thickBot="1">
      <c r="B160" s="1112" t="s">
        <v>337</v>
      </c>
      <c r="C160" s="1167">
        <v>2068</v>
      </c>
      <c r="D160" s="1168">
        <v>0</v>
      </c>
      <c r="E160" s="1085">
        <v>0</v>
      </c>
      <c r="F160" s="1169">
        <v>0</v>
      </c>
      <c r="G160" s="1169">
        <v>0</v>
      </c>
      <c r="H160" s="1086">
        <v>0</v>
      </c>
      <c r="I160" s="1170">
        <v>0</v>
      </c>
      <c r="J160" s="1171">
        <v>0</v>
      </c>
      <c r="K160" s="1162"/>
      <c r="L160" s="1172"/>
      <c r="M160" s="1171">
        <v>0</v>
      </c>
      <c r="N160" s="1172"/>
      <c r="O160" s="1171">
        <v>0</v>
      </c>
      <c r="P160" s="1171">
        <v>0</v>
      </c>
    </row>
    <row r="161" spans="2:16">
      <c r="B161" s="123"/>
      <c r="C161" s="1135" t="s">
        <v>476</v>
      </c>
      <c r="D161" s="1028"/>
      <c r="E161" s="1028">
        <v>1035552</v>
      </c>
      <c r="F161" s="1028"/>
      <c r="G161" s="1028"/>
      <c r="H161" s="1028">
        <v>4670143.8157202108</v>
      </c>
      <c r="I161" s="1028">
        <v>4670143.8157202108</v>
      </c>
      <c r="J161" s="1028">
        <v>0</v>
      </c>
      <c r="K161" s="1028"/>
      <c r="L161" s="1028"/>
      <c r="M161" s="1028"/>
      <c r="N161" s="1028"/>
      <c r="O161" s="1028"/>
      <c r="P161" s="123"/>
    </row>
    <row r="162" spans="2:16">
      <c r="B162" s="123"/>
      <c r="C162" s="123" t="s">
        <v>662</v>
      </c>
      <c r="D162" s="1112"/>
      <c r="E162" s="123"/>
      <c r="F162" s="123"/>
      <c r="G162" s="123"/>
      <c r="H162" s="123"/>
      <c r="I162" s="1025"/>
      <c r="J162" s="1025"/>
      <c r="K162" s="1028"/>
      <c r="L162" s="1025"/>
      <c r="M162" s="1025"/>
      <c r="N162" s="1025"/>
      <c r="O162" s="1025"/>
      <c r="P162" s="123"/>
    </row>
    <row r="163" spans="2:16">
      <c r="B163" s="123"/>
      <c r="C163" s="123"/>
      <c r="D163" s="1112"/>
      <c r="E163" s="123"/>
      <c r="F163" s="123"/>
      <c r="G163" s="123"/>
      <c r="H163" s="123"/>
      <c r="I163" s="1025"/>
      <c r="J163" s="1025"/>
      <c r="K163" s="1028"/>
      <c r="L163" s="1025"/>
      <c r="M163" s="1025"/>
      <c r="N163" s="1025"/>
      <c r="O163" s="1025"/>
      <c r="P163" s="123"/>
    </row>
    <row r="164" spans="2:16" ht="13">
      <c r="B164" s="123"/>
      <c r="C164" s="1173" t="s">
        <v>663</v>
      </c>
      <c r="D164" s="1112"/>
      <c r="E164" s="123"/>
      <c r="F164" s="123"/>
      <c r="G164" s="123"/>
      <c r="H164" s="123"/>
      <c r="I164" s="1025"/>
      <c r="J164" s="1025"/>
      <c r="K164" s="1028"/>
      <c r="L164" s="1025"/>
      <c r="M164" s="1025"/>
      <c r="N164" s="1025"/>
      <c r="O164" s="1025"/>
      <c r="P164" s="123"/>
    </row>
    <row r="165" spans="2:16" ht="13">
      <c r="B165" s="123"/>
      <c r="C165" s="1005" t="s">
        <v>477</v>
      </c>
      <c r="D165" s="1135"/>
      <c r="E165" s="1135"/>
      <c r="F165" s="1135"/>
      <c r="G165" s="1135"/>
      <c r="H165" s="1028"/>
      <c r="I165" s="1028"/>
      <c r="J165" s="1174"/>
      <c r="K165" s="1174"/>
      <c r="L165" s="1174"/>
      <c r="M165" s="1174"/>
      <c r="N165" s="1174"/>
      <c r="O165" s="1174"/>
      <c r="P165" s="123"/>
    </row>
    <row r="166" spans="2:16" ht="13">
      <c r="B166" s="123"/>
      <c r="C166" s="1005" t="s">
        <v>478</v>
      </c>
      <c r="D166" s="1135"/>
      <c r="E166" s="1135"/>
      <c r="F166" s="1135"/>
      <c r="G166" s="1135"/>
      <c r="H166" s="1028"/>
      <c r="I166" s="1028"/>
      <c r="J166" s="1174"/>
      <c r="K166" s="1174"/>
      <c r="L166" s="1174"/>
      <c r="M166" s="1174"/>
      <c r="N166" s="1174"/>
      <c r="O166" s="1174"/>
      <c r="P166" s="123"/>
    </row>
  </sheetData>
  <mergeCells count="8">
    <mergeCell ref="L7:P9"/>
    <mergeCell ref="L14:P15"/>
    <mergeCell ref="L10:P10"/>
    <mergeCell ref="C7:I7"/>
    <mergeCell ref="A2:I2"/>
    <mergeCell ref="A3:I3"/>
    <mergeCell ref="A4:I4"/>
    <mergeCell ref="A5:I5"/>
  </mergeCells>
  <phoneticPr fontId="0" type="noConversion"/>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V99"/>
  <sheetViews>
    <sheetView topLeftCell="A34" zoomScale="81" zoomScaleNormal="81" zoomScaleSheetLayoutView="75" zoomScalePageLayoutView="80" workbookViewId="0">
      <selection activeCell="K27" sqref="K27"/>
    </sheetView>
  </sheetViews>
  <sheetFormatPr defaultColWidth="9.1796875" defaultRowHeight="15.5"/>
  <cols>
    <col min="1" max="1" width="4.54296875" style="1175" customWidth="1"/>
    <col min="2" max="2" width="7.453125" style="1175" customWidth="1"/>
    <col min="3" max="6" width="12.54296875" style="1175" customWidth="1"/>
    <col min="7" max="7" width="17.1796875" style="1175" customWidth="1"/>
    <col min="8" max="9" width="12.54296875" style="1175" customWidth="1"/>
    <col min="10" max="10" width="12" style="1175" customWidth="1"/>
    <col min="11" max="11" width="16.453125" style="1175" bestFit="1" customWidth="1"/>
    <col min="12" max="12" width="22.1796875" style="1175" bestFit="1" customWidth="1"/>
    <col min="13" max="13" width="22.1796875" style="681" bestFit="1" customWidth="1"/>
    <col min="14" max="14" width="8.453125" style="1175" customWidth="1"/>
    <col min="15" max="38" width="12.54296875" style="1175" customWidth="1"/>
    <col min="39" max="16384" width="9.1796875" style="1175"/>
  </cols>
  <sheetData>
    <row r="1" spans="1:22">
      <c r="A1" s="206"/>
    </row>
    <row r="2" spans="1:22">
      <c r="N2" s="1176"/>
    </row>
    <row r="3" spans="1:22">
      <c r="A3" s="2284" t="str">
        <f>+'PSO TCOS'!F4</f>
        <v xml:space="preserve">AEP West SPP Member Operating Companies </v>
      </c>
      <c r="B3" s="2284"/>
      <c r="C3" s="2284"/>
      <c r="D3" s="2284"/>
      <c r="E3" s="2284"/>
      <c r="F3" s="2284"/>
      <c r="G3" s="2284"/>
      <c r="H3" s="2284"/>
      <c r="I3" s="2284"/>
      <c r="J3" s="2284"/>
      <c r="K3" s="2284"/>
      <c r="L3" s="2284"/>
      <c r="M3" s="2284"/>
      <c r="N3" s="2284"/>
    </row>
    <row r="4" spans="1:22">
      <c r="A4" s="2354" t="str">
        <f>+'PSO WS A-1 - Plant'!A3</f>
        <v xml:space="preserve">Actual / Projected 2024 Rate Year Cost of Service Formula Rate </v>
      </c>
      <c r="B4" s="2278"/>
      <c r="C4" s="2278"/>
      <c r="D4" s="2278"/>
      <c r="E4" s="2278"/>
      <c r="F4" s="2278"/>
      <c r="G4" s="2278"/>
      <c r="H4" s="2278"/>
      <c r="I4" s="2278"/>
      <c r="J4" s="2278"/>
      <c r="K4" s="2278"/>
      <c r="L4" s="2278"/>
      <c r="M4" s="2278"/>
      <c r="N4" s="2278"/>
    </row>
    <row r="5" spans="1:22" ht="15.75" customHeight="1">
      <c r="A5" s="2278" t="s">
        <v>623</v>
      </c>
      <c r="B5" s="2278"/>
      <c r="C5" s="2278"/>
      <c r="D5" s="2278"/>
      <c r="E5" s="2278"/>
      <c r="F5" s="2278"/>
      <c r="G5" s="2278"/>
      <c r="H5" s="2278"/>
      <c r="I5" s="2278"/>
      <c r="J5" s="2278"/>
      <c r="K5" s="2278"/>
      <c r="L5" s="2278"/>
      <c r="M5" s="2278"/>
      <c r="N5" s="2278"/>
      <c r="O5" s="114"/>
      <c r="P5" s="114"/>
      <c r="Q5" s="114"/>
      <c r="R5" s="114"/>
      <c r="S5" s="114"/>
      <c r="T5" s="114"/>
      <c r="U5" s="114"/>
    </row>
    <row r="6" spans="1:22">
      <c r="A6" s="2340" t="str">
        <f>+'PSO TCOS'!F8</f>
        <v>PUBLIC SERVICE COMPANY OF OKLAHOMA</v>
      </c>
      <c r="B6" s="2340"/>
      <c r="C6" s="2340"/>
      <c r="D6" s="2340"/>
      <c r="E6" s="2340"/>
      <c r="F6" s="2340"/>
      <c r="G6" s="2340"/>
      <c r="H6" s="2340"/>
      <c r="I6" s="2340"/>
      <c r="J6" s="2340"/>
      <c r="K6" s="2340"/>
      <c r="L6" s="2340"/>
      <c r="M6" s="2340"/>
      <c r="N6" s="2340"/>
    </row>
    <row r="7" spans="1:22" ht="25">
      <c r="A7" s="1177"/>
      <c r="B7" s="1178"/>
      <c r="C7" s="1178"/>
      <c r="D7" s="1178"/>
      <c r="E7" s="1178"/>
      <c r="F7" s="1178"/>
      <c r="G7" s="1178"/>
      <c r="H7" s="1178"/>
      <c r="I7" s="1178"/>
      <c r="J7" s="1178"/>
      <c r="K7" s="1178"/>
      <c r="L7" s="930"/>
      <c r="M7" s="1179"/>
    </row>
    <row r="8" spans="1:22" ht="20">
      <c r="A8" s="1180"/>
      <c r="B8" s="1178"/>
      <c r="C8" s="1178"/>
      <c r="D8" s="1178"/>
      <c r="E8" s="1178"/>
      <c r="F8" s="1178"/>
      <c r="G8" s="1178"/>
      <c r="H8" s="1178"/>
      <c r="I8" s="1178"/>
      <c r="J8" s="1178"/>
      <c r="K8" s="1178"/>
      <c r="L8" s="1178"/>
      <c r="M8" s="1181"/>
    </row>
    <row r="9" spans="1:22" ht="20">
      <c r="A9" s="1178"/>
      <c r="B9" s="1178"/>
      <c r="C9" s="1182"/>
      <c r="D9" s="1182"/>
      <c r="E9" s="1182"/>
      <c r="F9" s="1182"/>
      <c r="G9" s="1182"/>
      <c r="H9" s="1182"/>
      <c r="I9" s="1182"/>
      <c r="J9" s="1182"/>
      <c r="K9" s="1183" t="s">
        <v>319</v>
      </c>
      <c r="L9" s="1183" t="s">
        <v>210</v>
      </c>
      <c r="M9" s="1184"/>
      <c r="N9" s="49"/>
      <c r="P9" s="49"/>
      <c r="R9" s="49"/>
      <c r="S9" s="49"/>
      <c r="T9" s="49"/>
      <c r="U9" s="12"/>
      <c r="V9" s="12"/>
    </row>
    <row r="10" spans="1:22" ht="20">
      <c r="A10" s="1182"/>
      <c r="B10" s="1185" t="s">
        <v>621</v>
      </c>
      <c r="C10" s="1182"/>
      <c r="D10" s="1182"/>
      <c r="E10" s="1182"/>
      <c r="F10" s="1182"/>
      <c r="G10" s="1182"/>
      <c r="H10" s="1182"/>
      <c r="I10" s="1182"/>
      <c r="J10" s="1178"/>
      <c r="K10" s="1183" t="s">
        <v>320</v>
      </c>
      <c r="L10" s="1183" t="s">
        <v>255</v>
      </c>
      <c r="M10" s="1183" t="s">
        <v>255</v>
      </c>
      <c r="N10" s="49"/>
      <c r="O10" s="49"/>
      <c r="P10" s="49"/>
      <c r="Q10" s="49"/>
      <c r="R10" s="49"/>
      <c r="S10" s="49"/>
      <c r="T10" s="1186"/>
      <c r="U10" s="12"/>
      <c r="V10" s="12"/>
    </row>
    <row r="11" spans="1:22" ht="20">
      <c r="A11" s="1182"/>
      <c r="B11" s="1187"/>
      <c r="C11" s="1178"/>
      <c r="D11" s="1182"/>
      <c r="E11" s="1182"/>
      <c r="F11" s="1182"/>
      <c r="G11" s="1182"/>
      <c r="H11" s="1182"/>
      <c r="I11" s="1182"/>
      <c r="J11" s="1178"/>
      <c r="K11" s="1182"/>
      <c r="L11" s="1182"/>
      <c r="M11" s="1188"/>
      <c r="N11" s="49"/>
      <c r="O11" s="49"/>
      <c r="P11" s="49"/>
      <c r="Q11" s="49"/>
      <c r="R11" s="49"/>
      <c r="S11" s="49"/>
      <c r="T11" s="1186"/>
      <c r="U11" s="12"/>
      <c r="V11" s="12"/>
    </row>
    <row r="12" spans="1:22" ht="20.25" customHeight="1">
      <c r="A12" s="1182"/>
      <c r="B12" s="1800">
        <v>1</v>
      </c>
      <c r="C12" s="1190" t="s">
        <v>665</v>
      </c>
      <c r="D12" s="1178"/>
      <c r="E12" s="1178"/>
      <c r="F12" s="1182"/>
      <c r="G12" s="1178"/>
      <c r="H12" s="1178"/>
      <c r="I12" s="1182"/>
      <c r="J12" s="1178"/>
      <c r="K12" s="2461">
        <v>2800362.3200000008</v>
      </c>
      <c r="L12" s="1192">
        <f>+K12-M12</f>
        <v>2800362.3200000008</v>
      </c>
      <c r="M12" s="2462">
        <v>0</v>
      </c>
      <c r="N12" s="12"/>
      <c r="O12" s="12"/>
      <c r="P12" s="12"/>
      <c r="Q12" s="12"/>
      <c r="R12" s="12"/>
      <c r="S12" s="12"/>
      <c r="T12" s="49"/>
      <c r="U12" s="12"/>
      <c r="V12" s="12"/>
    </row>
    <row r="13" spans="1:22" ht="20.25" customHeight="1">
      <c r="A13" s="1182"/>
      <c r="B13" s="1189"/>
      <c r="C13" s="1187"/>
      <c r="D13" s="1178"/>
      <c r="E13" s="1178"/>
      <c r="F13" s="1182"/>
      <c r="G13" s="1178"/>
      <c r="H13" s="1178"/>
      <c r="I13" s="1182"/>
      <c r="J13" s="1178"/>
      <c r="K13" s="1193"/>
      <c r="L13" s="1194"/>
      <c r="M13" s="2144"/>
      <c r="N13" s="12"/>
      <c r="O13" s="12"/>
      <c r="P13" s="12"/>
      <c r="Q13" s="12"/>
      <c r="R13" s="12"/>
      <c r="S13" s="12"/>
      <c r="T13" s="49"/>
      <c r="U13" s="12"/>
      <c r="V13" s="12"/>
    </row>
    <row r="14" spans="1:22" ht="20">
      <c r="A14" s="1182"/>
      <c r="B14" s="1800">
        <f>+B12+1</f>
        <v>2</v>
      </c>
      <c r="C14" s="181" t="s">
        <v>636</v>
      </c>
      <c r="D14" s="1178"/>
      <c r="E14" s="1178"/>
      <c r="F14" s="1182"/>
      <c r="G14" s="1178"/>
      <c r="H14" s="1194"/>
      <c r="I14" s="1182"/>
      <c r="J14" s="1178"/>
      <c r="K14" s="2461">
        <v>349350.8299999999</v>
      </c>
      <c r="L14" s="1192">
        <f>+K14-M14</f>
        <v>349350.8299999999</v>
      </c>
      <c r="M14" s="2462">
        <v>0</v>
      </c>
      <c r="N14" s="12"/>
      <c r="O14" s="12"/>
      <c r="P14" s="12"/>
      <c r="Q14" s="12"/>
      <c r="R14" s="12"/>
      <c r="S14" s="12"/>
      <c r="T14" s="12"/>
      <c r="U14" s="12"/>
      <c r="V14" s="12"/>
    </row>
    <row r="15" spans="1:22" ht="20.5">
      <c r="A15" s="1182"/>
      <c r="B15" s="1189"/>
      <c r="C15" s="1187"/>
      <c r="D15" s="1178"/>
      <c r="E15" s="1178"/>
      <c r="F15" s="1182"/>
      <c r="G15" s="1178"/>
      <c r="H15" s="1194"/>
      <c r="I15" s="1182"/>
      <c r="J15" s="1182"/>
      <c r="K15" s="1193"/>
      <c r="L15" s="1182"/>
      <c r="M15" s="1195"/>
      <c r="N15" s="12"/>
      <c r="O15" s="12"/>
      <c r="P15" s="12"/>
      <c r="Q15" s="12"/>
      <c r="R15" s="12"/>
      <c r="S15" s="12"/>
      <c r="T15" s="12"/>
      <c r="U15" s="12"/>
      <c r="V15" s="12"/>
    </row>
    <row r="16" spans="1:22" ht="18">
      <c r="A16" s="1182"/>
      <c r="C16" s="1190" t="s">
        <v>666</v>
      </c>
      <c r="D16" s="1178"/>
      <c r="E16" s="1178"/>
      <c r="F16" s="1182"/>
      <c r="G16" s="1178"/>
      <c r="H16" s="1178"/>
      <c r="I16" s="1182"/>
      <c r="J16" s="1182"/>
      <c r="K16" s="1193"/>
      <c r="L16" s="1192"/>
      <c r="M16" s="1196"/>
      <c r="N16" s="12"/>
      <c r="O16" s="12"/>
      <c r="P16" s="12"/>
      <c r="Q16" s="12"/>
      <c r="R16" s="12"/>
      <c r="S16" s="12"/>
      <c r="T16" s="12"/>
      <c r="U16" s="12"/>
      <c r="V16" s="12"/>
    </row>
    <row r="17" spans="1:22" ht="20.5">
      <c r="A17" s="1182"/>
      <c r="B17" s="1189"/>
      <c r="C17" s="1197"/>
      <c r="D17" s="1184" t="s">
        <v>95</v>
      </c>
      <c r="E17" s="1178"/>
      <c r="F17" s="1182"/>
      <c r="G17" s="1198"/>
      <c r="H17" s="1194"/>
      <c r="I17" s="1182"/>
      <c r="J17" s="1182"/>
      <c r="K17" s="2461">
        <v>6821859.6240000045</v>
      </c>
      <c r="L17" s="1192">
        <f>+K17-M17</f>
        <v>6438942.1740000052</v>
      </c>
      <c r="M17" s="2461">
        <v>382917.4499999996</v>
      </c>
      <c r="N17" s="12"/>
      <c r="O17" s="12"/>
      <c r="P17" s="12"/>
      <c r="Q17" s="12"/>
      <c r="R17" s="12"/>
      <c r="S17" s="12"/>
      <c r="T17" s="12"/>
      <c r="U17" s="12"/>
      <c r="V17" s="12"/>
    </row>
    <row r="18" spans="1:22" ht="20.5">
      <c r="A18" s="1182"/>
      <c r="B18" s="1189"/>
      <c r="C18" s="1199"/>
      <c r="D18" s="1184" t="s">
        <v>96</v>
      </c>
      <c r="E18" s="1178"/>
      <c r="F18" s="1182"/>
      <c r="G18" s="1198"/>
      <c r="H18" s="1194"/>
      <c r="I18" s="1182"/>
      <c r="J18" s="1182"/>
      <c r="K18" s="2461">
        <v>486527.7900000001</v>
      </c>
      <c r="L18" s="1192">
        <f>+K18-M18</f>
        <v>336095.28000000009</v>
      </c>
      <c r="M18" s="2461">
        <v>150432.51</v>
      </c>
      <c r="N18" s="12"/>
      <c r="O18" s="12"/>
      <c r="P18" s="12"/>
      <c r="Q18" s="12"/>
      <c r="R18" s="12"/>
      <c r="S18" s="12"/>
      <c r="T18" s="12"/>
      <c r="U18" s="12"/>
      <c r="V18" s="12"/>
    </row>
    <row r="19" spans="1:22" ht="20.5">
      <c r="A19" s="1182"/>
      <c r="B19" s="1189"/>
      <c r="C19" s="1199"/>
      <c r="D19" s="1184" t="s">
        <v>410</v>
      </c>
      <c r="E19" s="1178"/>
      <c r="F19" s="1182"/>
      <c r="G19" s="1198"/>
      <c r="H19" s="1194"/>
      <c r="I19" s="1182"/>
      <c r="J19" s="1182"/>
      <c r="K19" s="2461">
        <v>4082559.7400000012</v>
      </c>
      <c r="L19" s="1192">
        <f>+K19-M19</f>
        <v>4052035.0500000012</v>
      </c>
      <c r="M19" s="2461">
        <v>30524.69</v>
      </c>
      <c r="O19" s="12"/>
      <c r="P19" s="12"/>
      <c r="Q19" s="12"/>
      <c r="R19" s="12"/>
      <c r="S19" s="12"/>
      <c r="T19" s="12"/>
      <c r="U19" s="12"/>
      <c r="V19" s="12"/>
    </row>
    <row r="20" spans="1:22" ht="20.5">
      <c r="A20" s="1182"/>
      <c r="B20" s="1189"/>
      <c r="C20" s="1199"/>
      <c r="D20" s="1200" t="s">
        <v>97</v>
      </c>
      <c r="E20" s="1178"/>
      <c r="F20" s="1182"/>
      <c r="G20" s="1198"/>
      <c r="H20" s="1194"/>
      <c r="I20" s="1182"/>
      <c r="J20" s="1182"/>
      <c r="K20" s="2461">
        <v>8184.5400000000009</v>
      </c>
      <c r="L20" s="1192">
        <f>+K20-M20</f>
        <v>3930.2999999999993</v>
      </c>
      <c r="M20" s="2461">
        <v>4254.2400000000016</v>
      </c>
      <c r="N20" s="12"/>
      <c r="O20" s="12"/>
      <c r="P20" s="12"/>
      <c r="Q20" s="12"/>
      <c r="R20" s="12"/>
      <c r="S20" s="12"/>
      <c r="T20" s="12"/>
      <c r="U20" s="12"/>
      <c r="V20" s="12"/>
    </row>
    <row r="21" spans="1:22" ht="20.5">
      <c r="A21" s="1182"/>
      <c r="B21" s="1189"/>
      <c r="C21" s="1199"/>
      <c r="D21" s="1200" t="s">
        <v>501</v>
      </c>
      <c r="E21" s="1178"/>
      <c r="F21" s="1182"/>
      <c r="G21" s="1198"/>
      <c r="H21" s="1194"/>
      <c r="I21" s="1182"/>
      <c r="J21" s="1182"/>
      <c r="K21" s="1191"/>
      <c r="L21" s="1192"/>
      <c r="M21" s="1191"/>
      <c r="N21" s="12"/>
      <c r="O21" s="12"/>
      <c r="P21" s="12"/>
      <c r="Q21" s="12"/>
      <c r="R21" s="12"/>
      <c r="S21" s="12"/>
      <c r="T21" s="12"/>
      <c r="U21" s="12"/>
      <c r="V21" s="12"/>
    </row>
    <row r="22" spans="1:22" ht="20">
      <c r="A22" s="1182"/>
      <c r="B22" s="1800">
        <f>+B14+1</f>
        <v>3</v>
      </c>
      <c r="C22" s="1199"/>
      <c r="D22" s="1184" t="s">
        <v>500</v>
      </c>
      <c r="E22" s="1178"/>
      <c r="F22" s="1182"/>
      <c r="G22" s="1198"/>
      <c r="H22" s="1194"/>
      <c r="I22" s="1182"/>
      <c r="J22" s="1182"/>
      <c r="K22" s="1201">
        <f>SUM(K17:K21)</f>
        <v>11399131.694000006</v>
      </c>
      <c r="L22"/>
      <c r="M22" s="1201">
        <f>SUM(M17:M21)</f>
        <v>568128.88999999955</v>
      </c>
      <c r="N22" s="12"/>
      <c r="O22" s="12"/>
      <c r="P22" s="12"/>
      <c r="Q22" s="12"/>
      <c r="R22" s="12"/>
      <c r="S22" s="12"/>
      <c r="T22" s="12"/>
      <c r="U22" s="12"/>
      <c r="V22" s="12"/>
    </row>
    <row r="23" spans="1:22" ht="20.5">
      <c r="A23" s="1182"/>
      <c r="B23" s="1189"/>
      <c r="C23" s="1194"/>
      <c r="D23" s="1178"/>
      <c r="E23" s="1178"/>
      <c r="F23" s="1182"/>
      <c r="G23" s="1198"/>
      <c r="H23" s="1194"/>
      <c r="I23" s="1182"/>
      <c r="J23" s="1182"/>
      <c r="K23" s="1182"/>
      <c r="L23" s="1182"/>
      <c r="M23" s="1194"/>
      <c r="N23" s="12"/>
      <c r="O23" s="12"/>
      <c r="P23" s="12"/>
      <c r="Q23" s="12"/>
      <c r="R23" s="12"/>
      <c r="S23" s="12"/>
      <c r="T23" s="12"/>
      <c r="U23" s="12"/>
      <c r="V23" s="12"/>
    </row>
    <row r="24" spans="1:22" ht="20.5">
      <c r="A24" s="1182"/>
      <c r="B24" s="1189"/>
      <c r="C24" s="1202"/>
      <c r="D24" s="1178"/>
      <c r="E24" s="1178"/>
      <c r="F24" s="1182"/>
      <c r="G24" s="1198"/>
      <c r="H24" s="1194"/>
      <c r="I24" s="1182"/>
      <c r="J24" s="1182"/>
      <c r="K24" s="1182"/>
      <c r="L24" s="1182"/>
      <c r="M24" s="1194"/>
      <c r="N24" s="12"/>
      <c r="O24" s="12"/>
      <c r="P24" s="12"/>
      <c r="Q24" s="12"/>
      <c r="R24" s="12"/>
      <c r="S24" s="12"/>
      <c r="T24" s="12"/>
      <c r="U24" s="12"/>
      <c r="V24" s="12"/>
    </row>
    <row r="25" spans="1:22" ht="20.5">
      <c r="A25" s="1182"/>
      <c r="B25" s="1189"/>
      <c r="C25" s="1194"/>
      <c r="D25" s="1178"/>
      <c r="E25" s="1178"/>
      <c r="F25" s="1182"/>
      <c r="G25" s="1198"/>
      <c r="H25" s="1194"/>
      <c r="I25" s="1182"/>
      <c r="J25" s="1182"/>
      <c r="K25" s="1182"/>
      <c r="L25" s="1182"/>
      <c r="M25" s="1194"/>
      <c r="N25" s="12"/>
      <c r="O25" s="12"/>
      <c r="P25" s="12"/>
      <c r="Q25" s="12"/>
      <c r="R25" s="12"/>
      <c r="S25" s="12"/>
      <c r="T25" s="12"/>
      <c r="U25" s="12"/>
      <c r="V25" s="12"/>
    </row>
    <row r="26" spans="1:22" ht="20.5">
      <c r="A26" s="1182"/>
      <c r="B26" s="1189"/>
      <c r="C26" s="181" t="s">
        <v>625</v>
      </c>
      <c r="D26" s="1178"/>
      <c r="E26" s="1178"/>
      <c r="F26" s="1182"/>
      <c r="G26" s="1198"/>
      <c r="H26" s="1194"/>
      <c r="I26" s="1182"/>
      <c r="J26" s="1182"/>
      <c r="K26" s="12"/>
      <c r="L26" s="12"/>
      <c r="M26" s="12"/>
      <c r="N26" s="12"/>
      <c r="O26" s="12"/>
      <c r="P26" s="12"/>
      <c r="Q26" s="12"/>
      <c r="R26" s="12"/>
      <c r="S26" s="12"/>
      <c r="T26" s="12"/>
      <c r="U26" s="12"/>
      <c r="V26" s="12"/>
    </row>
    <row r="27" spans="1:22" ht="20.5">
      <c r="A27" s="1182"/>
      <c r="B27" s="1189"/>
      <c r="C27" s="18">
        <v>1</v>
      </c>
      <c r="D27" s="1184" t="s">
        <v>98</v>
      </c>
      <c r="E27" s="1178"/>
      <c r="F27" s="1182"/>
      <c r="G27" s="1198"/>
      <c r="H27" s="1194"/>
      <c r="I27" s="1182"/>
      <c r="J27" s="1182"/>
      <c r="K27" s="2461">
        <v>18107611.73</v>
      </c>
      <c r="L27" s="1192">
        <f t="shared" ref="L27:L28" si="0">+K27-M27</f>
        <v>2785827.1700000018</v>
      </c>
      <c r="M27" s="2461">
        <v>15321784.559999999</v>
      </c>
      <c r="N27" s="12"/>
      <c r="O27" s="12"/>
      <c r="P27" s="12"/>
      <c r="Q27" s="12"/>
      <c r="R27" s="12"/>
      <c r="S27" s="12"/>
      <c r="T27" s="12"/>
      <c r="U27" s="12"/>
      <c r="V27" s="12"/>
    </row>
    <row r="28" spans="1:22" ht="20.5">
      <c r="A28" s="1182"/>
      <c r="B28" s="1189"/>
      <c r="C28" s="18">
        <v>2</v>
      </c>
      <c r="D28" s="1184" t="s">
        <v>626</v>
      </c>
      <c r="E28" s="1178"/>
      <c r="F28" s="1182"/>
      <c r="G28" s="1198"/>
      <c r="H28" s="1194"/>
      <c r="I28" s="1182"/>
      <c r="J28" s="1182"/>
      <c r="K28" s="2461">
        <v>10158814.82</v>
      </c>
      <c r="L28" s="1192">
        <f t="shared" si="0"/>
        <v>10158814.82</v>
      </c>
      <c r="M28" s="2462">
        <v>0</v>
      </c>
      <c r="N28" s="12"/>
      <c r="O28" s="12"/>
      <c r="P28" s="12"/>
      <c r="Q28" s="12"/>
      <c r="R28" s="12"/>
      <c r="S28" s="12"/>
      <c r="T28" s="12"/>
      <c r="U28" s="12"/>
      <c r="V28" s="12"/>
    </row>
    <row r="29" spans="1:22" ht="20">
      <c r="A29" s="1182"/>
      <c r="B29" s="1800">
        <f>+B22+1</f>
        <v>4</v>
      </c>
      <c r="C29" s="181"/>
      <c r="D29" s="1184" t="s">
        <v>637</v>
      </c>
      <c r="E29" s="1178"/>
      <c r="F29" s="1182"/>
      <c r="G29" s="1198"/>
      <c r="H29" s="1194"/>
      <c r="I29" s="1182"/>
      <c r="J29" s="1182"/>
      <c r="K29" s="1203">
        <f>+SUM(K27:K28)</f>
        <v>28266426.550000001</v>
      </c>
      <c r="L29"/>
      <c r="M29" s="1203">
        <f>+SUM(M27:M28)</f>
        <v>15321784.559999999</v>
      </c>
      <c r="N29" s="12"/>
      <c r="O29" s="12"/>
      <c r="P29" s="12"/>
      <c r="Q29" s="12"/>
      <c r="R29" s="12"/>
      <c r="S29" s="12"/>
      <c r="T29" s="12"/>
      <c r="U29" s="12"/>
      <c r="V29" s="12"/>
    </row>
    <row r="30" spans="1:22" ht="20.5">
      <c r="A30" s="1182"/>
      <c r="B30" s="1189"/>
      <c r="E30" s="1178"/>
      <c r="F30" s="1182"/>
      <c r="G30" s="1198"/>
      <c r="H30" s="1194"/>
      <c r="I30" s="1182"/>
      <c r="J30" s="1182"/>
      <c r="L30"/>
      <c r="M30" s="1175"/>
      <c r="N30" s="12"/>
      <c r="O30" s="12"/>
      <c r="P30" s="12"/>
      <c r="Q30" s="12"/>
      <c r="R30" s="12"/>
      <c r="S30" s="12"/>
      <c r="T30" s="12"/>
      <c r="U30" s="12"/>
      <c r="V30" s="12"/>
    </row>
    <row r="31" spans="1:22" ht="20.5">
      <c r="A31" s="1182"/>
      <c r="B31" s="1189"/>
      <c r="C31" s="1187"/>
      <c r="D31" s="1178"/>
      <c r="E31" s="1178"/>
      <c r="F31" s="1182"/>
      <c r="G31" s="1198"/>
      <c r="H31" s="1194"/>
      <c r="I31" s="1182"/>
      <c r="J31" s="1182"/>
      <c r="K31" s="1182"/>
      <c r="L31"/>
      <c r="M31" s="1192"/>
      <c r="N31" s="12"/>
      <c r="O31" s="12"/>
      <c r="P31" s="12"/>
      <c r="Q31" s="12"/>
      <c r="R31" s="12"/>
      <c r="S31" s="12"/>
      <c r="T31" s="12"/>
      <c r="U31" s="12"/>
      <c r="V31" s="12"/>
    </row>
    <row r="32" spans="1:22" ht="20.25" customHeight="1">
      <c r="A32" s="1182"/>
      <c r="B32" s="1189"/>
      <c r="C32" s="181" t="s">
        <v>622</v>
      </c>
      <c r="D32" s="1178"/>
      <c r="E32" s="1178"/>
      <c r="F32" s="1182"/>
      <c r="G32" s="1178"/>
      <c r="H32" s="1178"/>
      <c r="I32" s="1182"/>
      <c r="J32" s="1182"/>
      <c r="K32" s="1178"/>
      <c r="L32" s="1178"/>
      <c r="M32" s="2461">
        <v>45661435.159999989</v>
      </c>
      <c r="N32" s="12"/>
      <c r="O32" s="12"/>
      <c r="P32" s="12"/>
      <c r="Q32" s="12"/>
      <c r="R32" s="12"/>
      <c r="S32" s="12"/>
      <c r="T32" s="49"/>
      <c r="U32" s="12"/>
      <c r="V32" s="12"/>
    </row>
    <row r="33" spans="1:22" ht="20.149999999999999" customHeight="1">
      <c r="A33" s="1182"/>
      <c r="B33" s="1189"/>
      <c r="C33" s="1202"/>
      <c r="D33" s="1182"/>
      <c r="E33" s="1182"/>
      <c r="F33" s="1182"/>
      <c r="G33" s="1182"/>
      <c r="H33" s="1178"/>
      <c r="I33" s="1182"/>
      <c r="J33" s="1182"/>
      <c r="K33" s="1182"/>
      <c r="L33" s="1178"/>
      <c r="M33" s="1204"/>
      <c r="N33" s="12"/>
      <c r="O33" s="12"/>
      <c r="P33" s="12"/>
      <c r="Q33" s="12"/>
      <c r="R33" s="12"/>
      <c r="S33" s="12"/>
      <c r="T33" s="12"/>
      <c r="U33" s="12"/>
      <c r="V33" s="12"/>
    </row>
    <row r="34" spans="1:22" ht="20.149999999999999" customHeight="1">
      <c r="A34" s="1182"/>
      <c r="B34" s="1189"/>
      <c r="C34" s="1205" t="s">
        <v>99</v>
      </c>
      <c r="D34" s="1178"/>
      <c r="E34" s="1182"/>
      <c r="F34" s="1178"/>
      <c r="G34" s="1182"/>
      <c r="H34" s="1182"/>
      <c r="I34" s="1182"/>
      <c r="J34" s="1182"/>
      <c r="K34" s="1182"/>
      <c r="L34" s="1178"/>
      <c r="M34" s="1204"/>
      <c r="N34" s="12"/>
      <c r="O34" s="12"/>
      <c r="P34" s="12"/>
      <c r="Q34" s="12"/>
      <c r="R34" s="12"/>
      <c r="S34" s="12"/>
      <c r="T34" s="12"/>
      <c r="U34" s="12"/>
      <c r="V34" s="12"/>
    </row>
    <row r="35" spans="1:22" ht="20.149999999999999" customHeight="1">
      <c r="A35" s="1182"/>
      <c r="B35" s="1189"/>
      <c r="C35" s="2075">
        <v>1</v>
      </c>
      <c r="D35" s="1206" t="s">
        <v>100</v>
      </c>
      <c r="E35" s="1207"/>
      <c r="F35" s="1178"/>
      <c r="G35" s="1182"/>
      <c r="H35" s="1182"/>
      <c r="I35" s="1182"/>
      <c r="J35" s="1182"/>
      <c r="K35" s="1182"/>
      <c r="L35" s="1178"/>
      <c r="M35" s="2462">
        <v>0</v>
      </c>
      <c r="N35" s="12"/>
      <c r="O35" s="12"/>
      <c r="P35" s="12"/>
      <c r="Q35" s="12"/>
      <c r="R35" s="12"/>
      <c r="S35" s="12"/>
      <c r="T35" s="12"/>
      <c r="U35" s="12"/>
      <c r="V35" s="12"/>
    </row>
    <row r="36" spans="1:22" ht="20.149999999999999" customHeight="1">
      <c r="A36" s="1182"/>
      <c r="B36" s="1189"/>
      <c r="C36" s="2075">
        <v>2</v>
      </c>
      <c r="D36" s="1206" t="s">
        <v>101</v>
      </c>
      <c r="E36" s="1207"/>
      <c r="F36" s="1178"/>
      <c r="G36" s="1182"/>
      <c r="H36" s="1182"/>
      <c r="I36" s="1182"/>
      <c r="J36" s="1182"/>
      <c r="K36" s="1182"/>
      <c r="L36" s="1178"/>
      <c r="M36" s="2462">
        <v>0</v>
      </c>
      <c r="N36" s="12"/>
      <c r="O36" s="12"/>
      <c r="P36" s="12"/>
      <c r="Q36" s="12"/>
      <c r="R36" s="12"/>
      <c r="S36" s="12"/>
      <c r="T36" s="12"/>
      <c r="U36" s="12"/>
      <c r="V36" s="12"/>
    </row>
    <row r="37" spans="1:22" ht="20.149999999999999" customHeight="1">
      <c r="A37" s="1182"/>
      <c r="B37" s="1189"/>
      <c r="C37" s="2075">
        <v>3</v>
      </c>
      <c r="D37" s="1206" t="s">
        <v>102</v>
      </c>
      <c r="E37" s="1207"/>
      <c r="F37" s="1178"/>
      <c r="G37" s="1182"/>
      <c r="H37" s="1182"/>
      <c r="I37" s="1182"/>
      <c r="J37" s="1182"/>
      <c r="K37" s="1182"/>
      <c r="L37" s="1178"/>
      <c r="M37" s="2462">
        <v>0</v>
      </c>
      <c r="N37" s="12"/>
      <c r="O37" s="12"/>
      <c r="P37" s="12"/>
      <c r="Q37" s="12"/>
      <c r="R37" s="12"/>
      <c r="S37" s="12"/>
      <c r="T37" s="12"/>
      <c r="U37" s="12"/>
      <c r="V37" s="12"/>
    </row>
    <row r="38" spans="1:22" ht="20.149999999999999" customHeight="1">
      <c r="A38" s="1182"/>
      <c r="B38" s="1189"/>
      <c r="C38" s="2075">
        <v>4</v>
      </c>
      <c r="D38" s="1206" t="s">
        <v>103</v>
      </c>
      <c r="E38" s="1207"/>
      <c r="F38" s="1178"/>
      <c r="G38" s="1182"/>
      <c r="H38" s="1182"/>
      <c r="I38" s="1182"/>
      <c r="J38" s="1182"/>
      <c r="K38" s="1178"/>
      <c r="L38" s="1178"/>
      <c r="M38" s="2462">
        <v>0</v>
      </c>
      <c r="N38" s="12"/>
      <c r="O38" s="12"/>
      <c r="P38" s="12"/>
      <c r="Q38" s="12"/>
      <c r="R38" s="12"/>
      <c r="S38" s="12"/>
      <c r="T38" s="12"/>
      <c r="U38" s="12"/>
      <c r="V38" s="12"/>
    </row>
    <row r="39" spans="1:22" ht="20.149999999999999" customHeight="1">
      <c r="A39" s="1182"/>
      <c r="B39" s="1189"/>
      <c r="C39" s="2075">
        <v>5</v>
      </c>
      <c r="D39" s="1206" t="s">
        <v>104</v>
      </c>
      <c r="E39" s="1208"/>
      <c r="F39" s="1178"/>
      <c r="G39" s="1182"/>
      <c r="H39" s="1182"/>
      <c r="I39" s="1182"/>
      <c r="J39" s="1182"/>
      <c r="K39" s="1182"/>
      <c r="L39" s="1178"/>
      <c r="M39" s="2461">
        <v>21873362.399999987</v>
      </c>
      <c r="N39" s="12"/>
      <c r="O39" s="12"/>
      <c r="P39" s="12"/>
      <c r="Q39" s="12"/>
      <c r="R39" s="12"/>
      <c r="S39" s="12"/>
      <c r="T39" s="12"/>
      <c r="U39" s="12"/>
      <c r="V39" s="12"/>
    </row>
    <row r="40" spans="1:22" ht="20.149999999999999" customHeight="1">
      <c r="A40" s="1182"/>
      <c r="B40" s="1189"/>
      <c r="C40" s="2075">
        <v>6</v>
      </c>
      <c r="D40" s="1206" t="s">
        <v>105</v>
      </c>
      <c r="E40" s="1207"/>
      <c r="F40" s="1182"/>
      <c r="G40" s="1182"/>
      <c r="H40" s="1182"/>
      <c r="I40" s="1182"/>
      <c r="J40" s="1182"/>
      <c r="K40" s="1182"/>
      <c r="L40" s="1178"/>
      <c r="M40" s="2462">
        <v>0</v>
      </c>
      <c r="N40" s="12"/>
      <c r="O40" s="12"/>
      <c r="P40" s="12"/>
      <c r="Q40" s="12"/>
      <c r="R40" s="12"/>
      <c r="S40" s="12"/>
      <c r="T40" s="12"/>
      <c r="U40" s="12"/>
      <c r="V40" s="12"/>
    </row>
    <row r="41" spans="1:22" ht="20.149999999999999" customHeight="1">
      <c r="A41" s="1182"/>
      <c r="B41" s="1189"/>
      <c r="C41" s="2075">
        <v>7</v>
      </c>
      <c r="D41" s="1206" t="s">
        <v>106</v>
      </c>
      <c r="E41" s="1207"/>
      <c r="F41" s="1182"/>
      <c r="G41" s="1182"/>
      <c r="H41" s="1182"/>
      <c r="I41" s="1182"/>
      <c r="J41" s="1182"/>
      <c r="K41" s="1182"/>
      <c r="L41" s="1178"/>
      <c r="M41" s="2462">
        <v>337547.46</v>
      </c>
      <c r="N41" s="12"/>
      <c r="O41" s="12"/>
      <c r="P41" s="12"/>
      <c r="Q41" s="12"/>
      <c r="R41" s="12"/>
      <c r="S41" s="12"/>
      <c r="T41" s="12"/>
      <c r="U41" s="12"/>
      <c r="V41" s="12"/>
    </row>
    <row r="42" spans="1:22" ht="20.149999999999999" customHeight="1">
      <c r="A42" s="1182"/>
      <c r="B42" s="1189"/>
      <c r="C42" s="2075">
        <v>8</v>
      </c>
      <c r="D42" s="1206" t="s">
        <v>107</v>
      </c>
      <c r="E42" s="1207"/>
      <c r="F42" s="1182"/>
      <c r="G42" s="1182"/>
      <c r="H42" s="1182"/>
      <c r="I42" s="1182"/>
      <c r="J42" s="1182"/>
      <c r="K42" s="1182"/>
      <c r="L42" s="1178"/>
      <c r="M42" s="2462">
        <v>47994.409999999996</v>
      </c>
      <c r="N42" s="12"/>
      <c r="O42" s="12"/>
      <c r="P42" s="12"/>
      <c r="Q42" s="12"/>
      <c r="R42" s="12"/>
      <c r="S42" s="12"/>
      <c r="T42" s="12"/>
      <c r="U42" s="12"/>
      <c r="V42" s="12"/>
    </row>
    <row r="43" spans="1:22" ht="20.149999999999999" customHeight="1">
      <c r="A43" s="1182"/>
      <c r="B43" s="1189"/>
      <c r="C43" s="2075">
        <v>9</v>
      </c>
      <c r="D43" s="1206" t="s">
        <v>108</v>
      </c>
      <c r="E43" s="1207"/>
      <c r="F43" s="1182"/>
      <c r="G43" s="1182"/>
      <c r="H43" s="1182"/>
      <c r="I43" s="1182"/>
      <c r="J43" s="1182"/>
      <c r="K43" s="1182"/>
      <c r="L43" s="1178"/>
      <c r="M43" s="2462">
        <v>18442298.02</v>
      </c>
      <c r="N43" s="12"/>
      <c r="O43" s="12"/>
      <c r="P43" s="12"/>
      <c r="Q43" s="12"/>
      <c r="R43" s="12"/>
      <c r="S43" s="12"/>
      <c r="T43" s="12"/>
      <c r="U43" s="12"/>
      <c r="V43" s="12"/>
    </row>
    <row r="44" spans="1:22" ht="20.149999999999999" customHeight="1">
      <c r="A44" s="1182"/>
      <c r="B44" s="1189"/>
      <c r="C44" s="2075">
        <v>10</v>
      </c>
      <c r="D44" s="1209" t="s">
        <v>109</v>
      </c>
      <c r="E44" s="1207"/>
      <c r="F44" s="1182"/>
      <c r="G44" s="1182"/>
      <c r="H44" s="1182"/>
      <c r="I44" s="1182"/>
      <c r="J44" s="1182"/>
      <c r="K44" s="1182"/>
      <c r="L44" s="1178"/>
      <c r="M44" s="2462">
        <v>0</v>
      </c>
      <c r="N44" s="12"/>
      <c r="O44" s="12"/>
      <c r="P44" s="12"/>
      <c r="Q44" s="12"/>
      <c r="R44" s="12"/>
      <c r="S44" s="12"/>
      <c r="T44" s="12"/>
      <c r="U44" s="12"/>
      <c r="V44" s="12"/>
    </row>
    <row r="45" spans="1:22" ht="20.149999999999999" customHeight="1">
      <c r="A45" s="1182"/>
      <c r="B45" s="1189"/>
      <c r="C45" s="2075">
        <v>11</v>
      </c>
      <c r="D45" s="1210" t="s">
        <v>318</v>
      </c>
      <c r="E45" s="1207"/>
      <c r="F45" s="1182"/>
      <c r="G45" s="1182"/>
      <c r="H45" s="1182"/>
      <c r="I45" s="1182"/>
      <c r="J45" s="1182"/>
      <c r="K45" s="1182"/>
      <c r="L45" s="1178"/>
      <c r="M45" s="2462">
        <v>0</v>
      </c>
      <c r="N45" s="12"/>
      <c r="O45" s="12"/>
      <c r="P45" s="12"/>
      <c r="Q45" s="12"/>
      <c r="R45" s="12"/>
      <c r="S45" s="12"/>
      <c r="T45" s="12"/>
      <c r="U45" s="12"/>
      <c r="V45" s="12"/>
    </row>
    <row r="46" spans="1:22" ht="20.149999999999999" customHeight="1">
      <c r="A46" s="1182"/>
      <c r="B46" s="1800">
        <f>+B29+1</f>
        <v>5</v>
      </c>
      <c r="C46" s="1212"/>
      <c r="D46" s="1212"/>
      <c r="E46" s="1212"/>
      <c r="F46" s="1212"/>
      <c r="G46" s="1212"/>
      <c r="H46" s="1212"/>
      <c r="I46" s="181" t="s">
        <v>667</v>
      </c>
      <c r="J46" s="1213"/>
      <c r="K46" s="1178"/>
      <c r="L46" s="1178"/>
      <c r="M46" s="1214">
        <f>+M32-SUM(M35:M45)</f>
        <v>4960232.8699999973</v>
      </c>
      <c r="N46" s="12"/>
      <c r="O46" s="12"/>
      <c r="P46" s="12"/>
      <c r="Q46" s="12"/>
      <c r="R46" s="12"/>
      <c r="S46" s="12"/>
      <c r="T46" s="12"/>
      <c r="U46" s="12"/>
      <c r="V46" s="12"/>
    </row>
    <row r="47" spans="1:22" ht="20.149999999999999" customHeight="1">
      <c r="A47" s="1182"/>
      <c r="B47" s="1211"/>
      <c r="C47" s="1212"/>
      <c r="D47" s="1212"/>
      <c r="E47" s="1212"/>
      <c r="F47" s="1212"/>
      <c r="G47" s="1212"/>
      <c r="H47" s="1212"/>
      <c r="I47" s="1212"/>
      <c r="J47" s="1212"/>
      <c r="K47" s="1182"/>
      <c r="L47" s="1215"/>
      <c r="M47" s="1194"/>
      <c r="N47" s="12"/>
      <c r="O47" s="12"/>
      <c r="P47" s="12"/>
      <c r="Q47" s="12"/>
      <c r="R47" s="12"/>
      <c r="S47" s="12"/>
      <c r="T47" s="12"/>
      <c r="U47" s="12"/>
      <c r="V47" s="12"/>
    </row>
    <row r="48" spans="1:22" ht="39.75" customHeight="1">
      <c r="A48" s="1182"/>
      <c r="B48" s="1800">
        <f>+B46+1</f>
        <v>6</v>
      </c>
      <c r="C48" s="2355" t="s">
        <v>618</v>
      </c>
      <c r="D48" s="2355"/>
      <c r="E48" s="2355"/>
      <c r="F48" s="2355"/>
      <c r="G48" s="2355"/>
      <c r="H48" s="2355"/>
      <c r="I48" s="2355"/>
      <c r="J48" s="2355"/>
      <c r="K48" s="2462">
        <v>0</v>
      </c>
      <c r="L48" s="2144"/>
      <c r="M48" s="2462">
        <v>0</v>
      </c>
      <c r="N48" s="12"/>
      <c r="O48" s="12"/>
      <c r="P48" s="12"/>
      <c r="Q48" s="12"/>
      <c r="R48" s="12"/>
      <c r="S48" s="12"/>
      <c r="T48" s="12"/>
      <c r="U48" s="12"/>
      <c r="V48" s="12"/>
    </row>
    <row r="49" spans="1:22" ht="20.149999999999999" customHeight="1">
      <c r="A49" s="1182"/>
      <c r="B49" s="1211"/>
      <c r="C49" s="180"/>
      <c r="D49" s="1216"/>
      <c r="E49" s="1216"/>
      <c r="F49" s="1217"/>
      <c r="G49" s="1218"/>
      <c r="H49" s="1217"/>
      <c r="I49" s="1217"/>
      <c r="J49" s="1217"/>
      <c r="K49" s="2159"/>
      <c r="L49" s="2144"/>
      <c r="M49" s="2159"/>
      <c r="N49" s="12"/>
      <c r="O49" s="12"/>
      <c r="P49" s="12"/>
      <c r="Q49" s="12"/>
      <c r="R49" s="12"/>
      <c r="S49" s="12"/>
      <c r="T49" s="12"/>
      <c r="U49" s="12"/>
      <c r="V49" s="12"/>
    </row>
    <row r="50" spans="1:22" ht="20">
      <c r="A50" s="1182"/>
      <c r="B50" s="1800">
        <f>+B48+1</f>
        <v>7</v>
      </c>
      <c r="C50" s="2355" t="s">
        <v>619</v>
      </c>
      <c r="D50" s="2355"/>
      <c r="E50" s="2355"/>
      <c r="F50" s="2355"/>
      <c r="G50" s="2355"/>
      <c r="H50" s="2355"/>
      <c r="I50" s="2355"/>
      <c r="J50" s="2355"/>
      <c r="K50" s="2462">
        <v>0</v>
      </c>
      <c r="L50" s="2144"/>
      <c r="M50" s="2462">
        <v>0</v>
      </c>
      <c r="N50" s="12"/>
      <c r="O50" s="12"/>
      <c r="P50" s="12"/>
      <c r="Q50" s="12"/>
      <c r="R50" s="12"/>
      <c r="S50" s="12"/>
      <c r="T50" s="12"/>
      <c r="U50" s="12"/>
      <c r="V50" s="12"/>
    </row>
    <row r="51" spans="1:22" ht="20.149999999999999" customHeight="1">
      <c r="A51" s="1182"/>
      <c r="B51" s="1211"/>
      <c r="C51" s="181"/>
      <c r="D51" s="1213"/>
      <c r="E51" s="1213"/>
      <c r="F51" s="1212"/>
      <c r="G51" s="1220"/>
      <c r="H51" s="1212"/>
      <c r="I51" s="1212"/>
      <c r="J51" s="1212"/>
      <c r="K51" s="1219"/>
      <c r="L51" s="1192"/>
      <c r="M51" s="1219"/>
      <c r="N51" s="12"/>
      <c r="O51" s="12"/>
      <c r="P51" s="12"/>
      <c r="Q51" s="12"/>
      <c r="R51" s="12"/>
      <c r="S51" s="12"/>
      <c r="T51" s="12"/>
      <c r="U51" s="12"/>
      <c r="V51" s="12"/>
    </row>
    <row r="52" spans="1:22" ht="20.25" customHeight="1" thickBot="1">
      <c r="A52" s="1182"/>
      <c r="B52" s="1800">
        <f>+B50+1</f>
        <v>8</v>
      </c>
      <c r="C52" s="181" t="str">
        <f>"Total Revenue Credits - Sum lines "&amp;B12&amp;" through "&amp;B50&amp;""</f>
        <v>Total Revenue Credits - Sum lines 1 through 7</v>
      </c>
      <c r="D52" s="1213"/>
      <c r="E52" s="1213"/>
      <c r="F52" s="1212"/>
      <c r="G52" s="1213"/>
      <c r="H52" s="1213"/>
      <c r="I52" s="1212"/>
      <c r="J52" s="1212"/>
      <c r="K52" s="1182"/>
      <c r="L52" s="1182"/>
      <c r="M52" s="1221">
        <f>+M12+M14+M22+M29+M46+M48+M50</f>
        <v>20850146.319999993</v>
      </c>
      <c r="N52" s="12"/>
      <c r="O52" s="12"/>
      <c r="P52" s="12"/>
      <c r="Q52" s="12"/>
      <c r="R52" s="12"/>
      <c r="S52" s="12"/>
      <c r="T52" s="49"/>
      <c r="U52" s="12"/>
      <c r="V52" s="12"/>
    </row>
    <row r="53" spans="1:22" ht="20.149999999999999" customHeight="1" thickTop="1">
      <c r="A53" s="1182"/>
      <c r="B53" s="1182"/>
      <c r="C53" s="1182"/>
      <c r="D53" s="495"/>
      <c r="E53" s="1182"/>
      <c r="F53" s="1182"/>
      <c r="G53" s="1182"/>
      <c r="H53" s="1182"/>
      <c r="I53" s="1182"/>
      <c r="J53" s="1182"/>
      <c r="K53" s="1182"/>
      <c r="L53" s="1215"/>
      <c r="M53" s="12"/>
      <c r="N53" s="12"/>
      <c r="O53" s="12"/>
      <c r="P53" s="12"/>
      <c r="Q53" s="12"/>
      <c r="R53" s="12"/>
      <c r="S53" s="12"/>
      <c r="T53" s="12"/>
      <c r="U53" s="12"/>
      <c r="V53" s="12"/>
    </row>
    <row r="54" spans="1:22" ht="20">
      <c r="A54" s="1182"/>
      <c r="B54" s="1222"/>
      <c r="C54" s="1222"/>
      <c r="D54" s="1178"/>
      <c r="E54" s="1178"/>
      <c r="F54" s="1223"/>
      <c r="G54" s="1223"/>
      <c r="H54" s="1223"/>
      <c r="I54" s="1223"/>
      <c r="J54" s="1223"/>
      <c r="K54" s="1223"/>
      <c r="L54" s="1182"/>
      <c r="M54" s="12"/>
      <c r="N54" s="33"/>
      <c r="O54" s="33"/>
      <c r="P54" s="33"/>
      <c r="Q54" s="33"/>
      <c r="R54" s="12"/>
      <c r="S54" s="12"/>
      <c r="T54" s="12"/>
      <c r="U54" s="12"/>
      <c r="V54" s="12"/>
    </row>
    <row r="55" spans="1:22" ht="13">
      <c r="A55" s="1182"/>
      <c r="B55" s="1182"/>
      <c r="C55" s="1178"/>
      <c r="D55" s="1178"/>
      <c r="E55" s="1178"/>
      <c r="F55" s="1223"/>
      <c r="G55" s="1223"/>
      <c r="H55" s="1223"/>
      <c r="I55" s="1223"/>
      <c r="J55" s="1223"/>
      <c r="K55" s="1223"/>
      <c r="L55" s="1182"/>
      <c r="M55" s="12"/>
      <c r="N55" s="33"/>
      <c r="O55" s="33"/>
      <c r="P55" s="33"/>
      <c r="Q55" s="33"/>
      <c r="R55" s="12"/>
      <c r="S55" s="12"/>
      <c r="T55" s="12"/>
      <c r="U55" s="12"/>
      <c r="V55" s="12"/>
    </row>
    <row r="56" spans="1:22">
      <c r="A56" s="1182"/>
      <c r="B56" s="1182"/>
      <c r="C56" s="1194" t="s">
        <v>620</v>
      </c>
      <c r="E56" s="1178"/>
      <c r="F56" s="1223"/>
      <c r="G56" s="1223"/>
      <c r="H56" s="1223"/>
      <c r="I56" s="1223"/>
      <c r="J56" s="1223"/>
      <c r="K56" s="1223"/>
      <c r="L56" s="1182"/>
      <c r="M56" s="12"/>
      <c r="N56" s="33"/>
      <c r="O56" s="33"/>
      <c r="P56" s="33"/>
      <c r="Q56" s="33"/>
      <c r="R56" s="12"/>
      <c r="S56" s="12"/>
      <c r="T56" s="12"/>
      <c r="U56" s="12"/>
      <c r="V56" s="12"/>
    </row>
    <row r="57" spans="1:22" ht="12.75" customHeight="1">
      <c r="A57" s="12"/>
      <c r="B57" s="12"/>
      <c r="C57" s="12"/>
      <c r="D57" s="12"/>
      <c r="E57" s="12"/>
      <c r="F57" s="12"/>
      <c r="G57" s="12"/>
      <c r="H57" s="12"/>
      <c r="I57" s="12"/>
      <c r="J57" s="12"/>
      <c r="K57" s="12"/>
      <c r="L57" s="12"/>
      <c r="M57" s="12"/>
      <c r="N57" s="12"/>
      <c r="O57" s="12"/>
      <c r="P57" s="12"/>
      <c r="Q57" s="12"/>
      <c r="R57" s="12"/>
      <c r="S57" s="12"/>
      <c r="T57" s="12"/>
      <c r="U57" s="12"/>
      <c r="V57" s="12"/>
    </row>
    <row r="58" spans="1:22" ht="12.75" customHeight="1">
      <c r="A58" s="12"/>
      <c r="B58" s="12"/>
      <c r="C58" s="12"/>
      <c r="D58" s="12"/>
      <c r="E58" s="12"/>
      <c r="F58" s="12"/>
      <c r="G58" s="12"/>
      <c r="H58" s="12"/>
      <c r="I58" s="12"/>
      <c r="J58" s="12"/>
      <c r="K58" s="12"/>
      <c r="L58" s="12"/>
      <c r="M58" s="12"/>
      <c r="N58" s="12"/>
      <c r="O58" s="12"/>
      <c r="P58" s="12"/>
      <c r="Q58" s="12"/>
      <c r="R58" s="12"/>
      <c r="S58" s="12"/>
      <c r="T58" s="12"/>
      <c r="U58" s="12"/>
      <c r="V58" s="12"/>
    </row>
    <row r="59" spans="1:22" ht="12.75" customHeight="1">
      <c r="A59" s="12"/>
      <c r="B59" s="12"/>
      <c r="C59" s="12"/>
      <c r="D59" s="12"/>
      <c r="E59" s="12"/>
      <c r="F59" s="12"/>
      <c r="G59" s="12"/>
      <c r="H59" s="12"/>
      <c r="I59" s="12"/>
      <c r="J59" s="12"/>
      <c r="K59" s="12"/>
      <c r="L59" s="12"/>
      <c r="M59" s="12"/>
      <c r="N59" s="12"/>
      <c r="O59" s="12"/>
      <c r="P59" s="12"/>
      <c r="Q59" s="12"/>
      <c r="R59" s="12"/>
      <c r="S59" s="12"/>
      <c r="T59" s="12"/>
      <c r="U59" s="12"/>
      <c r="V59" s="12"/>
    </row>
    <row r="60" spans="1:22" ht="12.75" customHeight="1">
      <c r="A60" s="12"/>
      <c r="B60" s="12"/>
      <c r="C60" s="12"/>
      <c r="D60" s="12"/>
      <c r="E60" s="12"/>
      <c r="F60" s="12"/>
      <c r="G60" s="12"/>
      <c r="H60" s="12"/>
      <c r="I60" s="12"/>
      <c r="J60" s="12"/>
      <c r="K60" s="12"/>
      <c r="L60" s="12"/>
      <c r="M60" s="12"/>
      <c r="N60" s="12"/>
      <c r="O60" s="12"/>
      <c r="P60" s="12"/>
      <c r="Q60" s="12"/>
      <c r="R60" s="12"/>
      <c r="S60" s="12"/>
      <c r="T60" s="12"/>
      <c r="U60" s="12"/>
      <c r="V60" s="12"/>
    </row>
    <row r="61" spans="1:22" ht="12.75" customHeight="1">
      <c r="A61" s="12"/>
      <c r="B61" s="12"/>
      <c r="C61" s="12"/>
      <c r="D61" s="12"/>
      <c r="E61" s="12"/>
      <c r="F61" s="12"/>
      <c r="G61" s="12"/>
      <c r="H61" s="12"/>
      <c r="I61" s="12"/>
      <c r="J61" s="12"/>
      <c r="K61" s="12"/>
      <c r="L61" s="12"/>
      <c r="M61" s="12"/>
      <c r="N61" s="12"/>
      <c r="O61" s="12"/>
      <c r="P61" s="12"/>
      <c r="Q61" s="12"/>
      <c r="R61" s="12"/>
      <c r="S61" s="12"/>
      <c r="T61" s="12"/>
      <c r="U61" s="12"/>
      <c r="V61" s="12"/>
    </row>
    <row r="62" spans="1:22" ht="12.75" customHeight="1">
      <c r="A62" s="12"/>
      <c r="B62" s="12"/>
      <c r="C62" s="12"/>
      <c r="D62" s="12"/>
      <c r="E62" s="12"/>
      <c r="F62" s="12"/>
      <c r="G62" s="12"/>
      <c r="H62" s="12"/>
      <c r="I62" s="12"/>
      <c r="J62" s="12"/>
      <c r="K62" s="12"/>
      <c r="L62" s="12"/>
      <c r="M62" s="12"/>
      <c r="N62" s="12"/>
      <c r="O62" s="12"/>
      <c r="P62" s="12"/>
      <c r="Q62" s="12"/>
      <c r="R62" s="12"/>
      <c r="S62" s="12"/>
      <c r="T62" s="12"/>
      <c r="U62" s="12"/>
      <c r="V62" s="12"/>
    </row>
    <row r="63" spans="1:22" ht="12.75" customHeight="1">
      <c r="A63" s="12"/>
      <c r="B63" s="12"/>
      <c r="C63" s="12"/>
      <c r="D63" s="12"/>
      <c r="E63" s="12"/>
      <c r="F63" s="12"/>
      <c r="G63" s="12"/>
      <c r="H63" s="12"/>
      <c r="I63" s="12"/>
      <c r="J63" s="12"/>
      <c r="K63" s="12"/>
      <c r="L63" s="12"/>
      <c r="M63" s="12"/>
      <c r="N63" s="12"/>
      <c r="O63" s="12"/>
      <c r="P63" s="12"/>
      <c r="Q63" s="12"/>
      <c r="R63" s="12"/>
      <c r="S63" s="12"/>
      <c r="T63" s="12"/>
      <c r="U63" s="12"/>
      <c r="V63" s="12"/>
    </row>
    <row r="64" spans="1:22" ht="12.75" customHeight="1">
      <c r="A64" s="12"/>
      <c r="B64" s="12"/>
      <c r="C64" s="12"/>
      <c r="D64" s="12"/>
      <c r="E64" s="12"/>
      <c r="F64" s="12"/>
      <c r="G64" s="12"/>
      <c r="H64" s="12"/>
      <c r="I64" s="12"/>
      <c r="J64" s="12"/>
      <c r="K64" s="12"/>
      <c r="L64" s="12"/>
      <c r="M64" s="12"/>
      <c r="N64" s="12"/>
      <c r="O64" s="12"/>
      <c r="P64" s="12"/>
      <c r="Q64" s="12"/>
      <c r="R64" s="12"/>
      <c r="S64" s="12"/>
      <c r="T64" s="12"/>
      <c r="U64" s="12"/>
      <c r="V64" s="12"/>
    </row>
    <row r="65" spans="1:22" ht="12.75" customHeight="1">
      <c r="A65" s="12"/>
      <c r="B65" s="12"/>
      <c r="C65" s="12"/>
      <c r="D65" s="12"/>
      <c r="E65" s="12"/>
      <c r="F65" s="12"/>
      <c r="G65" s="12"/>
      <c r="H65" s="12"/>
      <c r="I65" s="12"/>
      <c r="J65" s="12"/>
      <c r="K65" s="12"/>
      <c r="L65" s="12"/>
      <c r="M65" s="12"/>
      <c r="N65" s="12"/>
      <c r="O65" s="12"/>
      <c r="P65" s="12"/>
      <c r="Q65" s="12"/>
      <c r="R65" s="12"/>
      <c r="S65" s="12"/>
      <c r="T65" s="12"/>
      <c r="U65" s="12"/>
      <c r="V65" s="12"/>
    </row>
    <row r="66" spans="1:22" ht="12.5">
      <c r="A66" s="12"/>
      <c r="B66" s="12"/>
      <c r="C66" s="12"/>
      <c r="D66" s="12"/>
      <c r="E66" s="12"/>
      <c r="F66" s="12"/>
      <c r="G66" s="12"/>
      <c r="H66" s="12"/>
      <c r="I66" s="12"/>
      <c r="J66" s="12"/>
      <c r="K66" s="12"/>
      <c r="L66" s="12"/>
      <c r="M66" s="12"/>
      <c r="N66" s="12"/>
      <c r="O66" s="12"/>
      <c r="P66" s="12"/>
      <c r="Q66" s="12"/>
      <c r="R66" s="12"/>
      <c r="S66" s="12"/>
      <c r="T66" s="12"/>
      <c r="U66" s="12"/>
      <c r="V66" s="12"/>
    </row>
    <row r="67" spans="1:22" ht="12.5">
      <c r="A67" s="12"/>
      <c r="B67" s="12"/>
      <c r="C67" s="12"/>
      <c r="D67" s="12"/>
      <c r="E67" s="12"/>
      <c r="F67" s="12"/>
      <c r="G67" s="12"/>
      <c r="H67" s="12"/>
      <c r="I67" s="12"/>
      <c r="J67" s="12"/>
      <c r="K67" s="12"/>
      <c r="L67" s="12"/>
      <c r="M67" s="12"/>
      <c r="N67" s="12"/>
      <c r="O67" s="12"/>
      <c r="P67" s="12"/>
      <c r="Q67" s="12"/>
      <c r="R67" s="12"/>
      <c r="S67" s="12"/>
      <c r="T67" s="12"/>
      <c r="U67" s="12"/>
      <c r="V67" s="12"/>
    </row>
    <row r="68" spans="1:22" ht="12.5">
      <c r="A68" s="12"/>
      <c r="B68" s="12"/>
      <c r="C68" s="12"/>
      <c r="D68" s="12"/>
      <c r="E68" s="12"/>
      <c r="F68" s="12"/>
      <c r="G68" s="12"/>
      <c r="H68" s="12"/>
      <c r="I68" s="12"/>
      <c r="J68" s="12"/>
      <c r="K68" s="12"/>
      <c r="L68" s="12"/>
      <c r="M68" s="12"/>
      <c r="N68" s="12"/>
      <c r="O68" s="12"/>
      <c r="P68" s="12"/>
      <c r="Q68" s="12"/>
      <c r="R68" s="12"/>
      <c r="S68" s="12"/>
      <c r="T68" s="12"/>
      <c r="U68" s="12"/>
      <c r="V68" s="12"/>
    </row>
    <row r="69" spans="1:22" ht="12.5">
      <c r="A69" s="12"/>
      <c r="B69" s="12"/>
      <c r="C69" s="12"/>
      <c r="D69" s="12"/>
      <c r="E69" s="12"/>
      <c r="F69" s="12"/>
      <c r="G69" s="12"/>
      <c r="H69" s="12"/>
      <c r="I69" s="12"/>
      <c r="J69" s="12"/>
      <c r="K69" s="12"/>
      <c r="L69" s="12"/>
      <c r="M69" s="12"/>
      <c r="N69" s="12"/>
      <c r="O69" s="12"/>
      <c r="P69" s="12"/>
      <c r="Q69" s="12"/>
      <c r="R69" s="12"/>
      <c r="S69" s="12"/>
      <c r="T69" s="12"/>
      <c r="U69" s="12"/>
      <c r="V69" s="12"/>
    </row>
    <row r="70" spans="1:22" ht="12.5">
      <c r="A70" s="12"/>
      <c r="B70" s="12"/>
      <c r="C70" s="12"/>
      <c r="D70" s="12"/>
      <c r="E70" s="12"/>
      <c r="F70" s="12"/>
      <c r="G70" s="12"/>
      <c r="H70" s="12"/>
      <c r="I70" s="12"/>
      <c r="J70" s="12"/>
      <c r="K70" s="12"/>
      <c r="L70" s="12"/>
      <c r="M70" s="12"/>
      <c r="N70" s="12"/>
      <c r="O70" s="12"/>
      <c r="P70" s="12"/>
      <c r="Q70" s="12"/>
      <c r="R70" s="12"/>
      <c r="S70" s="12"/>
      <c r="T70" s="12"/>
      <c r="U70" s="12"/>
      <c r="V70" s="12"/>
    </row>
    <row r="71" spans="1:22" ht="12.5">
      <c r="A71" s="12"/>
      <c r="B71" s="12"/>
      <c r="C71" s="12"/>
      <c r="D71" s="12"/>
      <c r="E71" s="12"/>
      <c r="F71" s="12"/>
      <c r="G71" s="12"/>
      <c r="H71" s="12"/>
      <c r="I71" s="12"/>
      <c r="J71" s="12"/>
      <c r="K71" s="12"/>
      <c r="L71" s="12"/>
      <c r="M71" s="12"/>
      <c r="N71" s="12"/>
      <c r="O71" s="12"/>
      <c r="P71" s="12"/>
      <c r="Q71" s="12"/>
      <c r="R71" s="12"/>
      <c r="S71" s="12"/>
      <c r="T71" s="12"/>
      <c r="U71" s="12"/>
      <c r="V71" s="12"/>
    </row>
    <row r="72" spans="1:22" ht="12.5">
      <c r="A72" s="12"/>
      <c r="B72" s="12"/>
      <c r="C72" s="12"/>
      <c r="D72" s="12"/>
      <c r="E72" s="12"/>
      <c r="F72" s="12"/>
      <c r="G72" s="12"/>
      <c r="H72" s="12"/>
      <c r="I72" s="12"/>
      <c r="J72" s="12"/>
      <c r="K72" s="12"/>
      <c r="L72" s="12"/>
      <c r="M72" s="12"/>
      <c r="N72" s="12"/>
      <c r="O72" s="12"/>
      <c r="P72" s="12"/>
      <c r="Q72" s="12"/>
      <c r="R72" s="12"/>
      <c r="S72" s="12"/>
      <c r="T72" s="12"/>
      <c r="U72" s="12"/>
      <c r="V72" s="12"/>
    </row>
    <row r="73" spans="1:22" ht="12.5">
      <c r="A73" s="12"/>
      <c r="B73" s="12"/>
      <c r="C73" s="12"/>
      <c r="D73" s="12"/>
      <c r="E73" s="12"/>
      <c r="F73" s="12"/>
      <c r="G73" s="12"/>
      <c r="H73" s="12"/>
      <c r="I73" s="12"/>
      <c r="J73" s="12"/>
      <c r="K73" s="12"/>
      <c r="L73" s="12"/>
      <c r="M73" s="12"/>
      <c r="N73" s="12"/>
      <c r="O73" s="12"/>
      <c r="P73" s="12"/>
      <c r="Q73" s="12"/>
      <c r="R73" s="12"/>
      <c r="S73" s="12"/>
      <c r="T73" s="12"/>
      <c r="U73" s="12"/>
      <c r="V73" s="12"/>
    </row>
    <row r="74" spans="1:22" ht="12.5">
      <c r="A74" s="12"/>
      <c r="B74" s="12"/>
      <c r="C74" s="12"/>
      <c r="D74" s="12"/>
      <c r="E74" s="12"/>
      <c r="F74" s="12"/>
      <c r="G74" s="12"/>
      <c r="H74" s="12"/>
      <c r="I74" s="12"/>
      <c r="J74" s="12"/>
      <c r="K74" s="12"/>
      <c r="L74" s="12"/>
      <c r="M74" s="12"/>
      <c r="N74" s="12"/>
      <c r="O74" s="12"/>
      <c r="P74" s="12"/>
      <c r="Q74" s="12"/>
      <c r="R74" s="12"/>
      <c r="S74" s="12"/>
      <c r="T74" s="12"/>
      <c r="U74" s="12"/>
      <c r="V74" s="12"/>
    </row>
    <row r="75" spans="1:22" ht="12.5">
      <c r="A75" s="12"/>
      <c r="B75" s="12"/>
      <c r="C75" s="12"/>
      <c r="D75" s="12"/>
      <c r="E75" s="12"/>
      <c r="F75" s="12"/>
      <c r="G75" s="12"/>
      <c r="H75" s="12"/>
      <c r="I75" s="12"/>
      <c r="J75" s="12"/>
      <c r="K75" s="12"/>
      <c r="L75" s="12"/>
      <c r="M75" s="12"/>
      <c r="N75" s="12"/>
      <c r="O75" s="12"/>
      <c r="P75" s="12"/>
      <c r="Q75" s="12"/>
      <c r="R75" s="12"/>
      <c r="S75" s="12"/>
      <c r="T75" s="12"/>
      <c r="U75" s="12"/>
      <c r="V75" s="12"/>
    </row>
    <row r="76" spans="1:22" ht="12.5">
      <c r="A76" s="12"/>
      <c r="B76" s="12"/>
      <c r="C76" s="12"/>
      <c r="D76" s="12"/>
      <c r="E76" s="12"/>
      <c r="F76" s="12"/>
      <c r="G76" s="12"/>
      <c r="H76" s="12"/>
      <c r="I76" s="12"/>
      <c r="J76" s="12"/>
      <c r="K76" s="12"/>
      <c r="L76" s="12"/>
      <c r="M76" s="12"/>
      <c r="N76" s="12"/>
      <c r="O76" s="12"/>
      <c r="P76" s="12"/>
      <c r="Q76" s="12"/>
      <c r="R76" s="12"/>
      <c r="S76" s="12"/>
      <c r="T76" s="12"/>
      <c r="U76" s="12"/>
      <c r="V76" s="12"/>
    </row>
    <row r="77" spans="1:22" ht="12.5">
      <c r="A77" s="12"/>
      <c r="B77" s="12"/>
      <c r="C77" s="12"/>
      <c r="D77" s="12"/>
      <c r="E77" s="12"/>
      <c r="F77" s="12"/>
      <c r="G77" s="12"/>
      <c r="H77" s="12"/>
      <c r="I77" s="12"/>
      <c r="J77" s="12"/>
      <c r="K77" s="12"/>
      <c r="L77" s="12"/>
      <c r="M77" s="12"/>
      <c r="N77" s="12"/>
      <c r="O77" s="12"/>
      <c r="P77" s="12"/>
      <c r="Q77" s="12"/>
      <c r="R77" s="12"/>
      <c r="S77" s="12"/>
      <c r="T77" s="12"/>
      <c r="U77" s="12"/>
      <c r="V77" s="12"/>
    </row>
    <row r="78" spans="1:22" ht="12.5">
      <c r="A78" s="12"/>
      <c r="B78" s="12"/>
      <c r="C78" s="12"/>
      <c r="D78" s="12"/>
      <c r="E78" s="12"/>
      <c r="F78" s="12"/>
      <c r="G78" s="12"/>
      <c r="H78" s="12"/>
      <c r="I78" s="12"/>
      <c r="J78" s="12"/>
      <c r="K78" s="12"/>
      <c r="L78" s="12"/>
      <c r="M78" s="12"/>
      <c r="N78" s="12"/>
      <c r="O78" s="12"/>
      <c r="P78" s="12"/>
      <c r="Q78" s="12"/>
      <c r="R78" s="12"/>
      <c r="S78" s="12"/>
      <c r="T78" s="12"/>
      <c r="U78" s="12"/>
      <c r="V78" s="12"/>
    </row>
    <row r="79" spans="1:22" ht="12.5">
      <c r="A79" s="12"/>
      <c r="B79" s="12"/>
      <c r="C79" s="12"/>
      <c r="D79" s="12"/>
      <c r="E79" s="12"/>
      <c r="F79" s="12"/>
      <c r="G79" s="12"/>
      <c r="H79" s="12"/>
      <c r="I79" s="12"/>
      <c r="J79" s="12"/>
      <c r="K79" s="12"/>
      <c r="L79" s="12"/>
      <c r="M79" s="12"/>
      <c r="N79" s="12"/>
      <c r="O79" s="12"/>
      <c r="P79" s="12"/>
      <c r="Q79" s="12"/>
      <c r="R79" s="12"/>
      <c r="S79" s="12"/>
      <c r="T79" s="12"/>
      <c r="U79" s="12"/>
      <c r="V79" s="12"/>
    </row>
    <row r="80" spans="1:22" ht="12.5">
      <c r="A80" s="12"/>
      <c r="B80" s="12"/>
      <c r="C80" s="12"/>
      <c r="D80" s="12"/>
      <c r="E80" s="12"/>
      <c r="F80" s="12"/>
      <c r="G80" s="12"/>
      <c r="H80" s="12"/>
      <c r="I80" s="12"/>
      <c r="J80" s="12"/>
      <c r="K80" s="12"/>
      <c r="L80" s="12"/>
      <c r="M80" s="12"/>
      <c r="N80" s="12"/>
      <c r="O80" s="12"/>
      <c r="P80" s="12"/>
      <c r="Q80" s="12"/>
      <c r="R80" s="12"/>
      <c r="S80" s="12"/>
      <c r="T80" s="12"/>
      <c r="U80" s="12"/>
      <c r="V80" s="12"/>
    </row>
    <row r="81" spans="1:22" ht="12.5">
      <c r="A81" s="12"/>
      <c r="B81" s="12"/>
      <c r="C81" s="12"/>
      <c r="D81" s="12"/>
      <c r="E81" s="12"/>
      <c r="F81" s="12"/>
      <c r="G81" s="12"/>
      <c r="H81" s="12"/>
      <c r="I81" s="12"/>
      <c r="J81" s="12"/>
      <c r="K81" s="12"/>
      <c r="L81" s="12"/>
      <c r="M81" s="12"/>
      <c r="N81" s="12"/>
      <c r="O81" s="12"/>
      <c r="P81" s="12"/>
      <c r="Q81" s="12"/>
      <c r="R81" s="12"/>
      <c r="S81" s="12"/>
      <c r="T81" s="12"/>
      <c r="U81" s="12"/>
      <c r="V81" s="12"/>
    </row>
    <row r="82" spans="1:22" ht="12.5">
      <c r="A82" s="12"/>
      <c r="B82" s="12"/>
      <c r="C82" s="12"/>
      <c r="D82" s="12"/>
      <c r="E82" s="12"/>
      <c r="F82" s="12"/>
      <c r="G82" s="12"/>
      <c r="H82" s="12"/>
      <c r="I82" s="12"/>
      <c r="J82" s="12"/>
      <c r="K82" s="12"/>
      <c r="L82" s="12"/>
      <c r="M82" s="12"/>
      <c r="N82" s="12"/>
      <c r="O82" s="12"/>
      <c r="P82" s="12"/>
      <c r="Q82" s="12"/>
      <c r="R82" s="12"/>
      <c r="S82" s="12"/>
      <c r="T82" s="12"/>
      <c r="U82" s="12"/>
      <c r="V82" s="12"/>
    </row>
    <row r="83" spans="1:22" ht="12.5">
      <c r="A83" s="12"/>
      <c r="B83" s="12"/>
      <c r="C83" s="12"/>
      <c r="D83" s="12"/>
      <c r="E83" s="12"/>
      <c r="F83" s="12"/>
      <c r="G83" s="12"/>
      <c r="H83" s="12"/>
      <c r="I83" s="12"/>
      <c r="J83" s="12"/>
      <c r="K83" s="12"/>
      <c r="L83" s="12"/>
      <c r="M83" s="12"/>
      <c r="N83" s="12"/>
      <c r="O83" s="12"/>
      <c r="P83" s="12"/>
      <c r="Q83" s="12"/>
      <c r="R83" s="12"/>
      <c r="S83" s="12"/>
      <c r="T83" s="12"/>
      <c r="U83" s="12"/>
      <c r="V83" s="12"/>
    </row>
    <row r="84" spans="1:22" ht="12.5">
      <c r="A84" s="12"/>
      <c r="B84" s="12"/>
      <c r="C84" s="12"/>
      <c r="D84" s="12"/>
      <c r="E84" s="12"/>
      <c r="F84" s="12"/>
      <c r="G84" s="12"/>
      <c r="H84" s="12"/>
      <c r="I84" s="12"/>
      <c r="J84" s="12"/>
      <c r="K84" s="12"/>
      <c r="L84" s="12"/>
      <c r="M84" s="12"/>
      <c r="N84" s="12"/>
      <c r="O84" s="12"/>
      <c r="P84" s="12"/>
      <c r="Q84" s="12"/>
      <c r="R84" s="12"/>
      <c r="S84" s="12"/>
      <c r="T84" s="12"/>
      <c r="U84" s="12"/>
      <c r="V84" s="12"/>
    </row>
    <row r="85" spans="1:22" ht="12.5">
      <c r="A85" s="12"/>
      <c r="B85" s="12"/>
      <c r="C85" s="12"/>
      <c r="D85" s="12"/>
      <c r="E85" s="12"/>
      <c r="F85" s="12"/>
      <c r="G85" s="12"/>
      <c r="H85" s="12"/>
      <c r="I85" s="12"/>
      <c r="J85" s="12"/>
      <c r="K85" s="12"/>
      <c r="L85" s="12"/>
      <c r="M85" s="12"/>
      <c r="N85" s="12"/>
      <c r="O85" s="12"/>
      <c r="P85" s="12"/>
      <c r="Q85" s="12"/>
      <c r="R85" s="12"/>
      <c r="S85" s="12"/>
      <c r="T85" s="12"/>
      <c r="U85" s="12"/>
      <c r="V85" s="12"/>
    </row>
    <row r="86" spans="1:22" ht="12.75" customHeight="1">
      <c r="A86" s="12"/>
      <c r="B86" s="12"/>
      <c r="C86" s="12"/>
      <c r="D86" s="12"/>
      <c r="E86" s="12"/>
      <c r="F86" s="12"/>
      <c r="G86" s="12"/>
      <c r="H86" s="12"/>
      <c r="I86" s="12"/>
      <c r="J86" s="12"/>
      <c r="K86" s="12"/>
      <c r="L86" s="12"/>
      <c r="M86" s="12"/>
      <c r="N86" s="12"/>
      <c r="O86" s="12"/>
      <c r="P86" s="12"/>
      <c r="Q86" s="12"/>
      <c r="R86" s="12"/>
      <c r="S86" s="12"/>
      <c r="T86" s="12"/>
      <c r="U86" s="12"/>
      <c r="V86" s="12"/>
    </row>
    <row r="87" spans="1:22" ht="12.75" customHeight="1">
      <c r="A87" s="12"/>
      <c r="B87" s="12"/>
      <c r="C87" s="12"/>
      <c r="D87" s="12"/>
      <c r="E87" s="12"/>
      <c r="F87" s="12"/>
      <c r="G87" s="12"/>
      <c r="H87" s="12"/>
      <c r="I87" s="12"/>
      <c r="J87" s="12"/>
      <c r="K87" s="12"/>
      <c r="L87" s="12"/>
      <c r="M87" s="12"/>
      <c r="N87" s="12"/>
      <c r="O87" s="12"/>
      <c r="P87" s="12"/>
      <c r="Q87" s="12"/>
      <c r="R87" s="12"/>
      <c r="S87" s="12"/>
      <c r="T87" s="12"/>
      <c r="U87" s="12"/>
      <c r="V87" s="12"/>
    </row>
    <row r="88" spans="1:22" ht="12.75" customHeight="1">
      <c r="A88" s="12"/>
      <c r="B88" s="12"/>
      <c r="C88" s="12"/>
      <c r="D88" s="12"/>
      <c r="E88" s="12"/>
      <c r="F88" s="12"/>
      <c r="G88" s="12"/>
      <c r="H88" s="12"/>
      <c r="I88" s="12"/>
      <c r="J88" s="12"/>
      <c r="K88" s="12"/>
      <c r="L88" s="12"/>
      <c r="M88" s="12"/>
      <c r="N88" s="12"/>
      <c r="O88" s="12"/>
      <c r="P88" s="12"/>
      <c r="Q88" s="12"/>
      <c r="R88" s="12"/>
      <c r="S88" s="12"/>
      <c r="T88" s="12"/>
      <c r="U88" s="12"/>
      <c r="V88" s="12"/>
    </row>
    <row r="89" spans="1:22" ht="12.5">
      <c r="A89" s="12"/>
      <c r="B89" s="12"/>
      <c r="C89" s="12"/>
      <c r="D89" s="12"/>
      <c r="E89" s="12"/>
      <c r="F89" s="12"/>
      <c r="G89" s="12"/>
      <c r="H89" s="12"/>
      <c r="I89" s="12"/>
      <c r="J89" s="12"/>
      <c r="K89" s="12"/>
      <c r="L89" s="12"/>
      <c r="M89" s="12"/>
      <c r="N89" s="12"/>
      <c r="O89" s="12"/>
      <c r="P89" s="12"/>
      <c r="Q89" s="12"/>
      <c r="R89" s="12"/>
      <c r="S89" s="12"/>
      <c r="T89" s="12"/>
      <c r="U89" s="12"/>
      <c r="V89" s="12"/>
    </row>
    <row r="90" spans="1:22" ht="12.5">
      <c r="A90" s="12"/>
      <c r="B90" s="12"/>
      <c r="C90" s="12"/>
      <c r="D90" s="12"/>
      <c r="E90" s="12"/>
      <c r="F90" s="12"/>
      <c r="G90" s="12"/>
      <c r="H90" s="12"/>
      <c r="I90" s="12"/>
      <c r="J90" s="12"/>
      <c r="K90" s="12"/>
      <c r="L90" s="12"/>
      <c r="M90" s="12"/>
      <c r="N90" s="12"/>
      <c r="O90" s="12"/>
      <c r="P90" s="12"/>
      <c r="Q90" s="12"/>
      <c r="R90" s="12"/>
      <c r="S90" s="12"/>
      <c r="T90" s="12"/>
      <c r="U90" s="12"/>
      <c r="V90" s="12"/>
    </row>
    <row r="91" spans="1:22" ht="12.5">
      <c r="A91" s="12"/>
      <c r="B91" s="12"/>
      <c r="C91" s="12"/>
      <c r="D91" s="12"/>
      <c r="E91" s="12"/>
      <c r="F91" s="12"/>
      <c r="G91" s="12"/>
      <c r="H91" s="12"/>
      <c r="I91" s="12"/>
      <c r="J91" s="12"/>
      <c r="K91" s="12"/>
      <c r="L91" s="12"/>
      <c r="M91" s="12"/>
      <c r="N91" s="12"/>
      <c r="O91" s="12"/>
      <c r="P91" s="12"/>
      <c r="Q91" s="12"/>
      <c r="R91" s="12"/>
      <c r="S91" s="12"/>
      <c r="T91" s="12"/>
      <c r="U91" s="12"/>
      <c r="V91" s="12"/>
    </row>
    <row r="92" spans="1:22" ht="12.5">
      <c r="A92" s="12"/>
      <c r="B92" s="12"/>
      <c r="C92" s="12"/>
      <c r="D92" s="12"/>
      <c r="E92" s="12"/>
      <c r="F92" s="12"/>
      <c r="G92" s="12"/>
      <c r="H92" s="12"/>
      <c r="I92" s="12"/>
      <c r="J92" s="12"/>
      <c r="K92" s="12"/>
      <c r="L92" s="12"/>
      <c r="M92" s="12"/>
      <c r="N92" s="12"/>
      <c r="O92" s="12"/>
      <c r="P92" s="12"/>
      <c r="Q92" s="12"/>
      <c r="R92" s="12"/>
      <c r="S92" s="12"/>
      <c r="T92" s="12"/>
      <c r="U92" s="12"/>
      <c r="V92" s="12"/>
    </row>
    <row r="93" spans="1:22" ht="12.5">
      <c r="A93" s="12"/>
      <c r="B93" s="12"/>
      <c r="C93" s="12"/>
      <c r="D93" s="12"/>
      <c r="E93" s="12"/>
      <c r="F93" s="12"/>
      <c r="G93" s="12"/>
      <c r="H93" s="12"/>
      <c r="I93" s="12"/>
      <c r="J93" s="12"/>
      <c r="K93" s="12"/>
      <c r="L93" s="12"/>
      <c r="M93" s="12"/>
      <c r="N93" s="12"/>
      <c r="O93" s="12"/>
      <c r="P93" s="12"/>
      <c r="Q93" s="12"/>
      <c r="R93" s="12"/>
      <c r="S93" s="12"/>
      <c r="T93" s="12"/>
      <c r="U93" s="12"/>
      <c r="V93" s="12"/>
    </row>
    <row r="94" spans="1:22" ht="12.5">
      <c r="A94" s="12"/>
      <c r="B94" s="12"/>
      <c r="C94" s="12"/>
      <c r="D94" s="12"/>
      <c r="E94" s="12"/>
      <c r="F94" s="12"/>
      <c r="G94" s="12"/>
      <c r="H94" s="12"/>
      <c r="I94" s="12"/>
      <c r="J94" s="12"/>
      <c r="K94" s="12"/>
      <c r="L94" s="12"/>
      <c r="M94" s="12"/>
      <c r="N94" s="12"/>
      <c r="O94" s="12"/>
      <c r="P94" s="12"/>
      <c r="Q94" s="12"/>
      <c r="R94" s="12"/>
      <c r="S94" s="12"/>
      <c r="T94" s="12"/>
      <c r="U94" s="12"/>
      <c r="V94" s="12"/>
    </row>
    <row r="95" spans="1:22" ht="12.5">
      <c r="A95" s="12"/>
      <c r="B95" s="12"/>
      <c r="C95" s="12"/>
      <c r="D95" s="12"/>
      <c r="E95" s="12"/>
      <c r="F95" s="12"/>
      <c r="G95" s="12"/>
      <c r="H95" s="12"/>
      <c r="I95" s="12"/>
      <c r="J95" s="12"/>
      <c r="K95" s="12"/>
      <c r="L95" s="12"/>
      <c r="M95" s="12"/>
      <c r="N95" s="12"/>
      <c r="O95" s="12"/>
      <c r="P95" s="12"/>
      <c r="Q95" s="12"/>
      <c r="R95" s="12"/>
      <c r="S95" s="12"/>
      <c r="T95" s="12"/>
      <c r="U95" s="12"/>
      <c r="V95" s="12"/>
    </row>
    <row r="96" spans="1:22" ht="12.5">
      <c r="A96" s="12"/>
      <c r="B96" s="12"/>
      <c r="C96" s="12"/>
      <c r="D96" s="12"/>
      <c r="E96" s="12"/>
      <c r="F96" s="12"/>
      <c r="G96" s="12"/>
      <c r="H96" s="12"/>
      <c r="I96" s="12"/>
      <c r="J96" s="12"/>
      <c r="K96" s="12"/>
      <c r="L96" s="12"/>
      <c r="M96" s="12"/>
      <c r="N96" s="12"/>
      <c r="O96" s="12"/>
      <c r="P96" s="12"/>
      <c r="Q96" s="12"/>
      <c r="R96" s="12"/>
      <c r="S96" s="12"/>
      <c r="T96" s="12"/>
      <c r="U96" s="12"/>
      <c r="V96" s="12"/>
    </row>
    <row r="97" spans="1:22" ht="12.5">
      <c r="A97" s="12"/>
      <c r="B97" s="12"/>
      <c r="C97" s="12"/>
      <c r="D97" s="12"/>
      <c r="E97" s="12"/>
      <c r="F97" s="12"/>
      <c r="G97" s="12"/>
      <c r="H97" s="12"/>
      <c r="I97" s="12"/>
      <c r="J97" s="12"/>
      <c r="K97" s="12"/>
      <c r="L97" s="12"/>
      <c r="M97" s="12"/>
      <c r="N97" s="12"/>
      <c r="O97" s="12"/>
      <c r="P97" s="12"/>
      <c r="Q97" s="12"/>
      <c r="R97" s="12"/>
      <c r="S97" s="12"/>
      <c r="T97" s="12"/>
      <c r="U97" s="12"/>
      <c r="V97" s="12"/>
    </row>
    <row r="98" spans="1:22" ht="12.5">
      <c r="A98" s="12"/>
      <c r="B98" s="12"/>
      <c r="C98" s="12"/>
      <c r="D98" s="12"/>
      <c r="E98" s="12"/>
      <c r="F98" s="12"/>
      <c r="G98" s="12"/>
      <c r="H98" s="12"/>
      <c r="I98" s="12"/>
      <c r="J98" s="12"/>
      <c r="K98" s="12"/>
      <c r="L98" s="12"/>
      <c r="M98" s="12"/>
      <c r="N98" s="12"/>
      <c r="O98" s="12"/>
      <c r="P98" s="12"/>
      <c r="Q98" s="12"/>
      <c r="R98" s="12"/>
      <c r="S98" s="12"/>
      <c r="T98" s="12"/>
      <c r="U98" s="12"/>
      <c r="V98" s="12"/>
    </row>
    <row r="99" spans="1:22" ht="12.5">
      <c r="A99" s="12"/>
      <c r="B99" s="12"/>
      <c r="C99" s="12"/>
      <c r="D99" s="12"/>
      <c r="E99" s="12"/>
      <c r="F99" s="12"/>
      <c r="G99" s="12"/>
      <c r="H99" s="12"/>
      <c r="I99" s="12"/>
      <c r="J99" s="12"/>
      <c r="K99" s="12"/>
      <c r="L99" s="12"/>
      <c r="M99" s="12"/>
      <c r="N99" s="12"/>
      <c r="O99" s="12"/>
      <c r="P99" s="12"/>
      <c r="Q99" s="12"/>
      <c r="R99" s="12"/>
      <c r="S99" s="12"/>
      <c r="T99" s="12"/>
      <c r="U99" s="12"/>
      <c r="V99" s="12"/>
    </row>
  </sheetData>
  <mergeCells count="6">
    <mergeCell ref="A3:N3"/>
    <mergeCell ref="A4:N4"/>
    <mergeCell ref="A6:N6"/>
    <mergeCell ref="C48:J48"/>
    <mergeCell ref="C50:J50"/>
    <mergeCell ref="A5:N5"/>
  </mergeCells>
  <phoneticPr fontId="0" type="noConversion"/>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K26"/>
  <sheetViews>
    <sheetView zoomScale="81" zoomScaleNormal="81" zoomScaleSheetLayoutView="100" zoomScalePageLayoutView="81" workbookViewId="0">
      <selection activeCell="D14" sqref="D14"/>
    </sheetView>
  </sheetViews>
  <sheetFormatPr defaultColWidth="9.1796875" defaultRowHeight="12.5"/>
  <cols>
    <col min="1" max="1" width="3.54296875" style="12" customWidth="1"/>
    <col min="2" max="2" width="7.453125" style="12" customWidth="1"/>
    <col min="3" max="3" width="2.453125" style="12" customWidth="1"/>
    <col min="4" max="4" width="29.453125" style="12" customWidth="1"/>
    <col min="5" max="5" width="26.453125" style="12" customWidth="1"/>
    <col min="6" max="6" width="24.1796875" style="12" bestFit="1" customWidth="1"/>
    <col min="7" max="7" width="22.81640625" style="12" customWidth="1"/>
    <col min="8" max="8" width="7.453125" style="12" customWidth="1"/>
    <col min="9" max="16384" width="9.1796875" style="12"/>
  </cols>
  <sheetData>
    <row r="1" spans="1:11" ht="15.5">
      <c r="A1" s="206"/>
    </row>
    <row r="2" spans="1:11" ht="19.5" customHeight="1">
      <c r="A2" s="2284" t="str">
        <f>+'PSO TCOS'!F4</f>
        <v xml:space="preserve">AEP West SPP Member Operating Companies </v>
      </c>
      <c r="B2" s="2284"/>
      <c r="C2" s="2284"/>
      <c r="D2" s="2284"/>
      <c r="E2" s="2284"/>
      <c r="F2" s="2284"/>
      <c r="G2" s="2284"/>
      <c r="H2" s="2284"/>
      <c r="I2" s="18"/>
      <c r="J2" s="18"/>
      <c r="K2" s="18"/>
    </row>
    <row r="3" spans="1:11" ht="15.5">
      <c r="A3" s="2278" t="str">
        <f>+'PSO WS A-1 - Plant'!A3</f>
        <v xml:space="preserve">Actual / Projected 2024 Rate Year Cost of Service Formula Rate </v>
      </c>
      <c r="B3" s="2278"/>
      <c r="C3" s="2278"/>
      <c r="D3" s="2278"/>
      <c r="E3" s="2278"/>
      <c r="F3" s="2278"/>
      <c r="G3" s="2278"/>
      <c r="H3" s="2278"/>
      <c r="I3" s="114"/>
      <c r="J3" s="114"/>
      <c r="K3" s="114"/>
    </row>
    <row r="4" spans="1:11" ht="15.5">
      <c r="A4" s="2279" t="s">
        <v>112</v>
      </c>
      <c r="B4" s="2278"/>
      <c r="C4" s="2278"/>
      <c r="D4" s="2278"/>
      <c r="E4" s="2278"/>
      <c r="F4" s="2278"/>
      <c r="G4" s="2278"/>
      <c r="H4" s="2278"/>
      <c r="I4" s="114"/>
      <c r="J4" s="114"/>
      <c r="K4" s="114"/>
    </row>
    <row r="5" spans="1:11" ht="15.5">
      <c r="A5" s="2340" t="str">
        <f>+'PSO TCOS'!F8</f>
        <v>PUBLIC SERVICE COMPANY OF OKLAHOMA</v>
      </c>
      <c r="B5" s="2340"/>
      <c r="C5" s="2340"/>
      <c r="D5" s="2340"/>
      <c r="E5" s="2340"/>
      <c r="F5" s="2340"/>
      <c r="G5" s="2340"/>
      <c r="H5" s="2340"/>
      <c r="I5" s="1224"/>
      <c r="J5" s="1224"/>
      <c r="K5" s="1224"/>
    </row>
    <row r="6" spans="1:11" ht="15.5">
      <c r="G6" s="835"/>
      <c r="H6" s="18"/>
      <c r="I6" s="18"/>
    </row>
    <row r="7" spans="1:11" ht="54" customHeight="1">
      <c r="A7" s="172"/>
      <c r="B7" s="2358" t="s">
        <v>668</v>
      </c>
      <c r="C7" s="2358"/>
      <c r="D7" s="2358"/>
      <c r="E7" s="2358"/>
      <c r="F7" s="2358"/>
      <c r="G7" s="2358"/>
      <c r="H7" s="172"/>
      <c r="I7" s="18"/>
    </row>
    <row r="8" spans="1:11" ht="18">
      <c r="A8" s="88"/>
      <c r="B8" s="88"/>
      <c r="C8" s="88"/>
      <c r="D8" s="88"/>
      <c r="E8" s="88"/>
      <c r="F8" s="88"/>
      <c r="G8" s="88"/>
      <c r="H8" s="88"/>
      <c r="I8" s="18"/>
    </row>
    <row r="9" spans="1:11" ht="18">
      <c r="A9" s="88"/>
      <c r="B9" s="88"/>
      <c r="C9" s="88"/>
      <c r="D9" s="88"/>
      <c r="E9" s="88"/>
      <c r="F9" s="88"/>
      <c r="G9" s="88"/>
      <c r="H9" s="88"/>
      <c r="I9" s="18"/>
    </row>
    <row r="10" spans="1:11" ht="18">
      <c r="A10" s="88"/>
      <c r="B10" s="41" t="s">
        <v>308</v>
      </c>
      <c r="D10" s="2357" t="s">
        <v>301</v>
      </c>
      <c r="E10" s="2357"/>
      <c r="G10" s="33" t="s">
        <v>302</v>
      </c>
      <c r="H10" s="88"/>
      <c r="I10" s="18"/>
    </row>
    <row r="11" spans="1:11" ht="18">
      <c r="A11" s="88"/>
      <c r="B11" s="41" t="s">
        <v>246</v>
      </c>
      <c r="D11" s="2356" t="s">
        <v>306</v>
      </c>
      <c r="E11" s="2356"/>
      <c r="G11" s="41">
        <f>+'PSO TCOS'!N2</f>
        <v>2024</v>
      </c>
      <c r="H11" s="88"/>
      <c r="I11" s="18"/>
    </row>
    <row r="12" spans="1:11" ht="15.5">
      <c r="B12" s="1225">
        <v>1</v>
      </c>
      <c r="C12" s="288"/>
      <c r="H12" s="18"/>
      <c r="I12" s="18"/>
    </row>
    <row r="13" spans="1:11" ht="15.5">
      <c r="B13" s="1225">
        <f t="shared" ref="B13:B20" si="0">B12+1</f>
        <v>2</v>
      </c>
      <c r="D13" s="768"/>
      <c r="E13" s="1226"/>
      <c r="G13" s="1143"/>
      <c r="H13" s="18"/>
      <c r="I13" s="18"/>
    </row>
    <row r="14" spans="1:11" ht="15.5">
      <c r="B14" s="1225">
        <f t="shared" si="0"/>
        <v>3</v>
      </c>
      <c r="D14" s="768"/>
      <c r="E14" s="1226"/>
      <c r="G14" s="1143"/>
      <c r="H14" s="18"/>
      <c r="I14" s="18"/>
    </row>
    <row r="15" spans="1:11" ht="15.5">
      <c r="B15" s="1225">
        <f t="shared" si="0"/>
        <v>4</v>
      </c>
      <c r="D15" s="768"/>
      <c r="E15" s="1226"/>
      <c r="G15" s="1143"/>
      <c r="H15" s="18"/>
      <c r="I15" s="18"/>
    </row>
    <row r="16" spans="1:11" ht="15.5">
      <c r="B16" s="1225">
        <f t="shared" si="0"/>
        <v>5</v>
      </c>
      <c r="D16" s="768"/>
      <c r="E16" s="1226"/>
      <c r="G16" s="1143"/>
      <c r="H16" s="18"/>
      <c r="I16" s="18"/>
    </row>
    <row r="17" spans="2:9" ht="15.5">
      <c r="B17" s="1225">
        <f t="shared" si="0"/>
        <v>6</v>
      </c>
      <c r="D17" s="768"/>
      <c r="E17" s="1226"/>
      <c r="G17" s="1143"/>
      <c r="H17" s="18"/>
      <c r="I17" s="18"/>
    </row>
    <row r="18" spans="2:9" ht="15.5">
      <c r="B18" s="1225">
        <f t="shared" si="0"/>
        <v>7</v>
      </c>
      <c r="D18" s="768"/>
      <c r="E18" s="1226"/>
      <c r="G18" s="1143"/>
      <c r="H18" s="18"/>
      <c r="I18" s="18"/>
    </row>
    <row r="19" spans="2:9" ht="15.5">
      <c r="B19" s="1225">
        <f t="shared" si="0"/>
        <v>8</v>
      </c>
      <c r="D19" s="768"/>
      <c r="E19" s="1226"/>
      <c r="G19" s="1143"/>
      <c r="H19" s="18"/>
      <c r="I19" s="18"/>
    </row>
    <row r="20" spans="2:9" ht="15.5">
      <c r="B20" s="1225">
        <f t="shared" si="0"/>
        <v>9</v>
      </c>
      <c r="D20" s="768"/>
      <c r="E20" s="1226"/>
      <c r="G20" s="1143"/>
      <c r="H20" s="18"/>
      <c r="I20" s="18"/>
    </row>
    <row r="21" spans="2:9" ht="15.5">
      <c r="B21" s="1225">
        <f>+B20+1</f>
        <v>10</v>
      </c>
      <c r="D21" s="1227" t="s">
        <v>258</v>
      </c>
      <c r="F21" s="12" t="str">
        <f>"( sum of lines "&amp;B13&amp;"  through "&amp;B20&amp;" )"</f>
        <v>( sum of lines 2  through 9 )</v>
      </c>
      <c r="G21" s="1228">
        <f>SUM(G13:G20)</f>
        <v>0</v>
      </c>
      <c r="H21" s="18"/>
      <c r="I21" s="18"/>
    </row>
    <row r="22" spans="2:9" ht="15.5">
      <c r="B22" s="1225"/>
      <c r="G22" s="1229"/>
      <c r="H22" s="18"/>
      <c r="I22" s="18"/>
    </row>
    <row r="23" spans="2:9" ht="15" customHeight="1"/>
    <row r="26" spans="2:9" ht="23.25" customHeight="1"/>
  </sheetData>
  <mergeCells count="7">
    <mergeCell ref="D11:E11"/>
    <mergeCell ref="A2:H2"/>
    <mergeCell ref="A3:H3"/>
    <mergeCell ref="A4:H4"/>
    <mergeCell ref="A5:H5"/>
    <mergeCell ref="D10:E10"/>
    <mergeCell ref="B7:G7"/>
  </mergeCells>
  <phoneticPr fontId="0" type="noConversion"/>
  <printOptions horizontalCentered="1"/>
  <pageMargins left="0.75" right="0.75" top="1" bottom="0.25" header="0.65" footer="0.5"/>
  <pageSetup scale="73"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78"/>
  <sheetViews>
    <sheetView topLeftCell="A42" zoomScale="70" zoomScaleNormal="70" zoomScaleSheetLayoutView="75" workbookViewId="0">
      <selection activeCell="E38" sqref="E38"/>
    </sheetView>
  </sheetViews>
  <sheetFormatPr defaultColWidth="9.1796875" defaultRowHeight="15.5"/>
  <cols>
    <col min="1" max="1" width="10.453125" style="30" customWidth="1"/>
    <col min="2" max="2" width="12.54296875" style="21" customWidth="1"/>
    <col min="3" max="3" width="66.1796875" style="14" customWidth="1"/>
    <col min="4" max="4" width="17.81640625" style="14" customWidth="1"/>
    <col min="5" max="5" width="24.453125" style="14" customWidth="1"/>
    <col min="6" max="6" width="17.453125" style="14" customWidth="1"/>
    <col min="7" max="7" width="87.81640625" style="14" customWidth="1"/>
    <col min="8" max="8" width="13.81640625" style="14" customWidth="1"/>
    <col min="9" max="10" width="12.54296875" style="14" customWidth="1"/>
    <col min="11" max="11" width="13.453125" style="14" customWidth="1"/>
    <col min="12" max="19" width="9.1796875" style="14"/>
    <col min="20" max="20" width="9.453125" bestFit="1" customWidth="1"/>
    <col min="21" max="21" width="8.81640625" customWidth="1"/>
    <col min="22" max="22" width="9.453125" bestFit="1" customWidth="1"/>
    <col min="23" max="23" width="8.81640625" customWidth="1"/>
    <col min="24" max="24" width="10.81640625" bestFit="1" customWidth="1"/>
    <col min="25" max="25" width="8.81640625" customWidth="1"/>
    <col min="26" max="26" width="10.81640625" bestFit="1" customWidth="1"/>
    <col min="27" max="27" width="8.81640625" customWidth="1"/>
    <col min="28" max="28" width="10.54296875" bestFit="1" customWidth="1"/>
    <col min="29" max="29" width="8.81640625" customWidth="1"/>
    <col min="30" max="30" width="9.453125" bestFit="1" customWidth="1"/>
    <col min="31" max="31" width="8.81640625" customWidth="1"/>
    <col min="32" max="32" width="11.54296875" bestFit="1" customWidth="1"/>
    <col min="33" max="33" width="8.81640625" customWidth="1"/>
    <col min="34" max="34" width="11.54296875" bestFit="1" customWidth="1"/>
    <col min="35" max="35" width="8.81640625" customWidth="1"/>
    <col min="36" max="36" width="11" bestFit="1" customWidth="1"/>
    <col min="37" max="37" width="8.81640625" customWidth="1"/>
    <col min="38" max="38" width="9.453125" bestFit="1" customWidth="1"/>
    <col min="39" max="39" width="8.81640625" customWidth="1"/>
    <col min="40" max="40" width="11.54296875" bestFit="1" customWidth="1"/>
    <col min="41" max="43" width="8.81640625" customWidth="1"/>
    <col min="44" max="16384" width="9.1796875" style="14"/>
  </cols>
  <sheetData>
    <row r="1" spans="1:11">
      <c r="A1" s="210"/>
    </row>
    <row r="2" spans="1:11" ht="23.25" customHeight="1">
      <c r="A2" s="2360" t="str">
        <f>+'PSO WS H Rev Credits'!A3:N3</f>
        <v xml:space="preserve">AEP West SPP Member Operating Companies </v>
      </c>
      <c r="B2" s="2360"/>
      <c r="C2" s="2360"/>
      <c r="D2" s="2360"/>
      <c r="E2" s="2360"/>
      <c r="F2" s="2360"/>
      <c r="G2" s="2360"/>
      <c r="H2" s="47"/>
    </row>
    <row r="3" spans="1:11" ht="18.75" customHeight="1">
      <c r="A3" s="2360" t="str">
        <f>+'PSO WS A-1 - Plant'!A3</f>
        <v xml:space="preserve">Actual / Projected 2024 Rate Year Cost of Service Formula Rate </v>
      </c>
      <c r="B3" s="2360"/>
      <c r="C3" s="2360"/>
      <c r="D3" s="2360"/>
      <c r="E3" s="2360"/>
      <c r="F3" s="2360"/>
      <c r="G3" s="2360"/>
      <c r="H3" s="87"/>
      <c r="I3" s="87"/>
      <c r="J3" s="87"/>
      <c r="K3" s="87"/>
    </row>
    <row r="4" spans="1:11" ht="19.5" customHeight="1">
      <c r="A4" s="2361" t="s">
        <v>113</v>
      </c>
      <c r="B4" s="2360"/>
      <c r="C4" s="2360"/>
      <c r="D4" s="2360"/>
      <c r="E4" s="2360"/>
      <c r="F4" s="2360"/>
      <c r="G4" s="2360"/>
    </row>
    <row r="5" spans="1:11" ht="18" customHeight="1">
      <c r="A5" s="2340" t="str">
        <f>+'PSO TCOS'!F8</f>
        <v>PUBLIC SERVICE COMPANY OF OKLAHOMA</v>
      </c>
      <c r="B5" s="2340"/>
      <c r="C5" s="2340"/>
      <c r="D5" s="2340"/>
      <c r="E5" s="2340"/>
      <c r="F5" s="2340"/>
      <c r="G5" s="2340"/>
    </row>
    <row r="6" spans="1:11" ht="12.75" customHeight="1">
      <c r="A6" s="2284"/>
      <c r="B6" s="2284"/>
      <c r="C6" s="2284"/>
      <c r="D6" s="2284"/>
      <c r="E6" s="2284"/>
      <c r="F6" s="2284"/>
      <c r="G6" s="23"/>
    </row>
    <row r="7" spans="1:11" ht="18">
      <c r="A7" s="2291"/>
      <c r="B7" s="2291"/>
      <c r="C7" s="2291"/>
      <c r="D7" s="2291"/>
      <c r="E7" s="2291"/>
      <c r="F7" s="2291"/>
      <c r="G7" s="2291"/>
    </row>
    <row r="8" spans="1:11" ht="18">
      <c r="A8" s="88"/>
      <c r="B8" s="88"/>
      <c r="C8" s="88"/>
      <c r="D8" s="88"/>
      <c r="E8" s="88"/>
      <c r="F8" s="88"/>
      <c r="G8" s="88"/>
    </row>
    <row r="9" spans="1:11">
      <c r="B9" s="25" t="s">
        <v>301</v>
      </c>
      <c r="C9" s="25" t="s">
        <v>302</v>
      </c>
      <c r="D9" s="25" t="s">
        <v>303</v>
      </c>
      <c r="E9" s="25" t="s">
        <v>304</v>
      </c>
      <c r="F9" s="25" t="s">
        <v>229</v>
      </c>
      <c r="G9" s="25" t="s">
        <v>230</v>
      </c>
    </row>
    <row r="10" spans="1:11">
      <c r="B10" s="71"/>
      <c r="C10" s="23"/>
      <c r="D10" s="42"/>
      <c r="E10" s="43"/>
      <c r="F10" s="44" t="s">
        <v>232</v>
      </c>
      <c r="G10" s="25"/>
    </row>
    <row r="11" spans="1:11">
      <c r="A11" s="29" t="s">
        <v>308</v>
      </c>
      <c r="B11" s="29" t="s">
        <v>150</v>
      </c>
      <c r="C11" s="72"/>
      <c r="D11" s="29">
        <f>+'PSO TCOS'!N2</f>
        <v>2024</v>
      </c>
      <c r="E11" s="44" t="s">
        <v>232</v>
      </c>
      <c r="F11" s="29" t="s">
        <v>255</v>
      </c>
      <c r="G11" s="25" t="s">
        <v>423</v>
      </c>
    </row>
    <row r="12" spans="1:11">
      <c r="A12" s="29" t="s">
        <v>246</v>
      </c>
      <c r="B12" s="29" t="s">
        <v>151</v>
      </c>
      <c r="C12" s="29" t="s">
        <v>306</v>
      </c>
      <c r="D12" s="29" t="s">
        <v>215</v>
      </c>
      <c r="E12" s="29" t="s">
        <v>234</v>
      </c>
      <c r="F12" s="29" t="s">
        <v>216</v>
      </c>
      <c r="G12" s="183" t="s">
        <v>424</v>
      </c>
    </row>
    <row r="13" spans="1:11">
      <c r="B13" s="29"/>
      <c r="C13" s="29"/>
      <c r="D13" s="29"/>
      <c r="E13" s="29"/>
      <c r="F13" s="29"/>
      <c r="G13" s="29"/>
    </row>
    <row r="14" spans="1:11" ht="15" customHeight="1">
      <c r="B14" s="30"/>
      <c r="C14" s="34" t="s">
        <v>351</v>
      </c>
      <c r="D14" s="23"/>
      <c r="E14" s="23"/>
      <c r="F14" s="23"/>
      <c r="G14" s="23"/>
    </row>
    <row r="15" spans="1:11">
      <c r="A15" s="64">
        <v>1</v>
      </c>
      <c r="B15" s="454" t="s">
        <v>1591</v>
      </c>
      <c r="C15" s="454" t="s">
        <v>1576</v>
      </c>
      <c r="D15" s="2463">
        <v>867.63000000000011</v>
      </c>
      <c r="E15" s="2109">
        <f>D15-F15</f>
        <v>704.94</v>
      </c>
      <c r="F15" s="2464">
        <v>162.69</v>
      </c>
      <c r="G15" s="2109" t="s">
        <v>1878</v>
      </c>
      <c r="I15" s="57"/>
      <c r="J15" s="57"/>
    </row>
    <row r="16" spans="1:11">
      <c r="A16" s="64">
        <f t="shared" ref="A16:A54" si="0">+A15+1</f>
        <v>2</v>
      </c>
      <c r="B16" s="454" t="s">
        <v>1591</v>
      </c>
      <c r="C16" s="454" t="s">
        <v>1576</v>
      </c>
      <c r="D16" s="2463">
        <v>40.94</v>
      </c>
      <c r="E16" s="2109">
        <f t="shared" ref="E16:E22" si="1">D16-F16</f>
        <v>32.209999999999994</v>
      </c>
      <c r="F16" s="2464">
        <v>8.73</v>
      </c>
      <c r="G16" s="2109" t="s">
        <v>1881</v>
      </c>
      <c r="I16" s="57"/>
      <c r="J16" s="57"/>
    </row>
    <row r="17" spans="1:10">
      <c r="A17" s="64">
        <f t="shared" si="0"/>
        <v>3</v>
      </c>
      <c r="B17" s="454" t="s">
        <v>1591</v>
      </c>
      <c r="C17" s="454" t="s">
        <v>1576</v>
      </c>
      <c r="D17" s="2463">
        <v>10380.01</v>
      </c>
      <c r="E17" s="2109">
        <f t="shared" si="1"/>
        <v>10380.01</v>
      </c>
      <c r="F17" s="2464">
        <v>0</v>
      </c>
      <c r="G17" s="2109" t="s">
        <v>1639</v>
      </c>
      <c r="I17" s="57"/>
      <c r="J17" s="57"/>
    </row>
    <row r="18" spans="1:10">
      <c r="A18" s="64">
        <f t="shared" si="0"/>
        <v>4</v>
      </c>
      <c r="B18" s="454" t="s">
        <v>1591</v>
      </c>
      <c r="C18" s="454" t="s">
        <v>1576</v>
      </c>
      <c r="D18" s="2463">
        <v>2079133.9200000002</v>
      </c>
      <c r="E18" s="2109">
        <f t="shared" si="1"/>
        <v>2012663.81</v>
      </c>
      <c r="F18" s="2464">
        <v>66470.11</v>
      </c>
      <c r="G18" s="2109" t="s">
        <v>1878</v>
      </c>
      <c r="I18" s="57"/>
      <c r="J18" s="57"/>
    </row>
    <row r="19" spans="1:10">
      <c r="A19" s="64">
        <f t="shared" si="0"/>
        <v>5</v>
      </c>
      <c r="B19" s="454" t="s">
        <v>1591</v>
      </c>
      <c r="C19" s="454" t="s">
        <v>1576</v>
      </c>
      <c r="D19" s="2463">
        <v>109.03</v>
      </c>
      <c r="E19" s="2109">
        <f t="shared" si="1"/>
        <v>0</v>
      </c>
      <c r="F19" s="2464">
        <v>109.03</v>
      </c>
      <c r="G19" s="2109" t="s">
        <v>1879</v>
      </c>
      <c r="I19" s="57"/>
      <c r="J19" s="57"/>
    </row>
    <row r="20" spans="1:10">
      <c r="A20" s="64">
        <f t="shared" si="0"/>
        <v>6</v>
      </c>
      <c r="B20" s="454" t="s">
        <v>1591</v>
      </c>
      <c r="C20" s="454" t="s">
        <v>1576</v>
      </c>
      <c r="D20" s="2463">
        <v>8115.57</v>
      </c>
      <c r="E20" s="2109">
        <f t="shared" si="1"/>
        <v>8115.57</v>
      </c>
      <c r="F20" s="2464">
        <v>0</v>
      </c>
      <c r="G20" s="2109" t="s">
        <v>1869</v>
      </c>
      <c r="I20" s="57"/>
      <c r="J20" s="57"/>
    </row>
    <row r="21" spans="1:10">
      <c r="A21" s="64">
        <f t="shared" si="0"/>
        <v>7</v>
      </c>
      <c r="B21" s="454" t="s">
        <v>1591</v>
      </c>
      <c r="C21" s="454" t="s">
        <v>1576</v>
      </c>
      <c r="D21" s="2463">
        <v>7195.69</v>
      </c>
      <c r="E21" s="2109">
        <f t="shared" si="1"/>
        <v>7195.69</v>
      </c>
      <c r="F21" s="2464">
        <v>0</v>
      </c>
      <c r="G21" s="2109" t="s">
        <v>1640</v>
      </c>
      <c r="I21" s="57"/>
      <c r="J21" s="57"/>
    </row>
    <row r="22" spans="1:10">
      <c r="A22" s="64">
        <f t="shared" si="0"/>
        <v>8</v>
      </c>
      <c r="B22" s="454" t="s">
        <v>1591</v>
      </c>
      <c r="C22" s="454" t="s">
        <v>1576</v>
      </c>
      <c r="D22" s="2463">
        <v>36123.61</v>
      </c>
      <c r="E22" s="2109">
        <f t="shared" si="1"/>
        <v>36123.61</v>
      </c>
      <c r="F22" s="2464">
        <v>0</v>
      </c>
      <c r="G22" s="2109" t="s">
        <v>1642</v>
      </c>
      <c r="I22" s="57"/>
      <c r="J22" s="57"/>
    </row>
    <row r="23" spans="1:10">
      <c r="A23" s="64">
        <f t="shared" si="0"/>
        <v>9</v>
      </c>
      <c r="B23" s="454" t="s">
        <v>1593</v>
      </c>
      <c r="C23" s="454" t="s">
        <v>1592</v>
      </c>
      <c r="D23" s="2463">
        <v>4104.26</v>
      </c>
      <c r="E23" s="175">
        <f t="shared" ref="E23:E46" si="2">D23-F23</f>
        <v>4104.26</v>
      </c>
      <c r="F23" s="2109">
        <v>0</v>
      </c>
      <c r="G23" s="2109" t="s">
        <v>1880</v>
      </c>
      <c r="H23"/>
      <c r="I23" s="57"/>
      <c r="J23" s="57"/>
    </row>
    <row r="24" spans="1:10">
      <c r="A24" s="64">
        <f t="shared" si="0"/>
        <v>10</v>
      </c>
      <c r="B24" s="454" t="s">
        <v>1594</v>
      </c>
      <c r="C24" s="454" t="s">
        <v>1577</v>
      </c>
      <c r="D24" s="2463">
        <v>8333.5300000000007</v>
      </c>
      <c r="E24" s="175">
        <f t="shared" si="2"/>
        <v>5989.77</v>
      </c>
      <c r="F24" s="2464">
        <v>2343.7600000000002</v>
      </c>
      <c r="G24" s="2109" t="s">
        <v>1881</v>
      </c>
      <c r="H24"/>
      <c r="I24" s="57"/>
      <c r="J24" s="57"/>
    </row>
    <row r="25" spans="1:10">
      <c r="A25" s="64">
        <f t="shared" si="0"/>
        <v>11</v>
      </c>
      <c r="B25" s="454" t="s">
        <v>1594</v>
      </c>
      <c r="C25" s="454" t="s">
        <v>1577</v>
      </c>
      <c r="D25" s="2463">
        <v>37499.980000000003</v>
      </c>
      <c r="E25" s="175">
        <f t="shared" ref="E25:E44" si="3">D25-F25</f>
        <v>37499.980000000003</v>
      </c>
      <c r="F25" s="2109">
        <v>0</v>
      </c>
      <c r="G25" s="2109" t="s">
        <v>1882</v>
      </c>
      <c r="H25"/>
      <c r="I25" s="57"/>
      <c r="J25" s="57"/>
    </row>
    <row r="26" spans="1:10">
      <c r="A26" s="64">
        <f t="shared" si="0"/>
        <v>12</v>
      </c>
      <c r="B26" s="454" t="s">
        <v>1594</v>
      </c>
      <c r="C26" s="454" t="s">
        <v>1577</v>
      </c>
      <c r="D26" s="2463">
        <v>50719.06</v>
      </c>
      <c r="E26" s="175">
        <f t="shared" si="3"/>
        <v>50719.06</v>
      </c>
      <c r="F26" s="2109">
        <v>0</v>
      </c>
      <c r="G26" s="2109" t="s">
        <v>1883</v>
      </c>
      <c r="H26"/>
      <c r="I26" s="57"/>
      <c r="J26" s="57"/>
    </row>
    <row r="27" spans="1:10">
      <c r="A27" s="64">
        <f t="shared" si="0"/>
        <v>13</v>
      </c>
      <c r="B27" s="454" t="s">
        <v>1594</v>
      </c>
      <c r="C27" s="454" t="s">
        <v>1577</v>
      </c>
      <c r="D27" s="2463">
        <v>39.76</v>
      </c>
      <c r="E27" s="175">
        <f t="shared" si="3"/>
        <v>39.76</v>
      </c>
      <c r="F27" s="2109">
        <v>0</v>
      </c>
      <c r="G27" s="2109" t="s">
        <v>1599</v>
      </c>
      <c r="H27"/>
      <c r="I27" s="57"/>
      <c r="J27" s="57"/>
    </row>
    <row r="28" spans="1:10">
      <c r="A28" s="64">
        <f t="shared" si="0"/>
        <v>14</v>
      </c>
      <c r="B28" s="454" t="s">
        <v>1594</v>
      </c>
      <c r="C28" s="454" t="s">
        <v>1577</v>
      </c>
      <c r="D28" s="2463">
        <v>1640251.14</v>
      </c>
      <c r="E28" s="175">
        <f t="shared" si="3"/>
        <v>1640251.14</v>
      </c>
      <c r="F28" s="2109">
        <v>0</v>
      </c>
      <c r="G28" s="2109" t="s">
        <v>1884</v>
      </c>
      <c r="H28"/>
      <c r="I28" s="57"/>
      <c r="J28" s="57"/>
    </row>
    <row r="29" spans="1:10">
      <c r="A29" s="64">
        <f t="shared" si="0"/>
        <v>15</v>
      </c>
      <c r="B29" s="454" t="s">
        <v>1594</v>
      </c>
      <c r="C29" s="454" t="s">
        <v>1577</v>
      </c>
      <c r="D29" s="2463">
        <v>289.58</v>
      </c>
      <c r="E29" s="175">
        <f t="shared" si="3"/>
        <v>236.08999999999997</v>
      </c>
      <c r="F29" s="2464">
        <v>53.49</v>
      </c>
      <c r="G29" s="2109" t="s">
        <v>1878</v>
      </c>
      <c r="H29"/>
      <c r="I29" s="57"/>
      <c r="J29" s="57"/>
    </row>
    <row r="30" spans="1:10">
      <c r="A30" s="64">
        <f t="shared" si="0"/>
        <v>16</v>
      </c>
      <c r="B30" s="454" t="s">
        <v>1594</v>
      </c>
      <c r="C30" s="454" t="s">
        <v>1577</v>
      </c>
      <c r="D30" s="2463">
        <v>14732.85</v>
      </c>
      <c r="E30" s="175">
        <f t="shared" si="3"/>
        <v>14732.85</v>
      </c>
      <c r="F30" s="2464">
        <v>0</v>
      </c>
      <c r="G30" s="2109" t="s">
        <v>1639</v>
      </c>
      <c r="H30"/>
      <c r="I30" s="57"/>
      <c r="J30" s="57"/>
    </row>
    <row r="31" spans="1:10">
      <c r="A31" s="64">
        <f t="shared" si="0"/>
        <v>17</v>
      </c>
      <c r="B31" s="454" t="s">
        <v>1594</v>
      </c>
      <c r="C31" s="454" t="s">
        <v>1577</v>
      </c>
      <c r="D31" s="2463">
        <v>24717.66</v>
      </c>
      <c r="E31" s="175">
        <f t="shared" si="3"/>
        <v>24717.66</v>
      </c>
      <c r="F31" s="2109">
        <v>0</v>
      </c>
      <c r="G31" s="2109" t="s">
        <v>1885</v>
      </c>
      <c r="H31"/>
      <c r="I31" s="57"/>
      <c r="J31" s="57"/>
    </row>
    <row r="32" spans="1:10">
      <c r="A32" s="64">
        <f t="shared" si="0"/>
        <v>18</v>
      </c>
      <c r="B32" s="454" t="s">
        <v>1594</v>
      </c>
      <c r="C32" s="454" t="s">
        <v>1577</v>
      </c>
      <c r="D32" s="2463">
        <v>1872.6000000000001</v>
      </c>
      <c r="E32" s="175">
        <f t="shared" si="3"/>
        <v>1872.6000000000001</v>
      </c>
      <c r="F32" s="2109">
        <v>0</v>
      </c>
      <c r="G32" s="2109" t="s">
        <v>1886</v>
      </c>
      <c r="H32"/>
      <c r="I32" s="57"/>
      <c r="J32" s="57"/>
    </row>
    <row r="33" spans="1:10">
      <c r="A33" s="64">
        <f t="shared" si="0"/>
        <v>19</v>
      </c>
      <c r="B33" s="454" t="s">
        <v>1594</v>
      </c>
      <c r="C33" s="454" t="s">
        <v>1577</v>
      </c>
      <c r="D33" s="2463">
        <v>204659.56999999998</v>
      </c>
      <c r="E33" s="175">
        <f t="shared" si="3"/>
        <v>162263.85999999999</v>
      </c>
      <c r="F33" s="2464">
        <v>42395.71</v>
      </c>
      <c r="G33" s="2109" t="s">
        <v>1887</v>
      </c>
      <c r="H33"/>
      <c r="I33" s="57"/>
      <c r="J33" s="57"/>
    </row>
    <row r="34" spans="1:10">
      <c r="A34" s="64">
        <f t="shared" si="0"/>
        <v>20</v>
      </c>
      <c r="B34" s="454" t="s">
        <v>1594</v>
      </c>
      <c r="C34" s="454" t="s">
        <v>1577</v>
      </c>
      <c r="D34" s="2463">
        <v>150566.76</v>
      </c>
      <c r="E34" s="175">
        <f t="shared" si="3"/>
        <v>121902.58000000002</v>
      </c>
      <c r="F34" s="2464">
        <v>28664.18</v>
      </c>
      <c r="G34" s="2109" t="s">
        <v>1878</v>
      </c>
      <c r="H34"/>
      <c r="I34" s="57"/>
      <c r="J34" s="57"/>
    </row>
    <row r="35" spans="1:10">
      <c r="A35" s="64">
        <f t="shared" si="0"/>
        <v>21</v>
      </c>
      <c r="B35" s="454" t="s">
        <v>1594</v>
      </c>
      <c r="C35" s="454" t="s">
        <v>1577</v>
      </c>
      <c r="D35" s="2463">
        <v>18956.23</v>
      </c>
      <c r="E35" s="175">
        <f t="shared" si="3"/>
        <v>18956.23</v>
      </c>
      <c r="F35" s="2464">
        <v>0</v>
      </c>
      <c r="G35" s="2109" t="s">
        <v>1888</v>
      </c>
      <c r="H35"/>
      <c r="I35" s="57"/>
      <c r="J35" s="57"/>
    </row>
    <row r="36" spans="1:10">
      <c r="A36" s="64">
        <f t="shared" si="0"/>
        <v>22</v>
      </c>
      <c r="B36" s="454" t="s">
        <v>1594</v>
      </c>
      <c r="C36" s="454" t="s">
        <v>1577</v>
      </c>
      <c r="D36" s="2463">
        <v>231021.22</v>
      </c>
      <c r="E36" s="175">
        <f t="shared" si="3"/>
        <v>231021.22</v>
      </c>
      <c r="F36" s="2464">
        <v>0</v>
      </c>
      <c r="G36" s="2109" t="s">
        <v>1889</v>
      </c>
      <c r="H36"/>
      <c r="I36" s="57"/>
      <c r="J36" s="57"/>
    </row>
    <row r="37" spans="1:10">
      <c r="A37" s="64">
        <f t="shared" si="0"/>
        <v>23</v>
      </c>
      <c r="B37" s="454" t="s">
        <v>1594</v>
      </c>
      <c r="C37" s="454" t="s">
        <v>1577</v>
      </c>
      <c r="D37" s="2463">
        <v>180054.47</v>
      </c>
      <c r="E37" s="175">
        <f t="shared" si="3"/>
        <v>180054.47</v>
      </c>
      <c r="F37" s="2109">
        <v>0</v>
      </c>
      <c r="G37" s="2109" t="s">
        <v>1890</v>
      </c>
      <c r="H37"/>
      <c r="I37" s="57"/>
      <c r="J37" s="57"/>
    </row>
    <row r="38" spans="1:10">
      <c r="A38" s="64">
        <f t="shared" si="0"/>
        <v>24</v>
      </c>
      <c r="B38" s="454" t="s">
        <v>1594</v>
      </c>
      <c r="C38" s="454" t="s">
        <v>1577</v>
      </c>
      <c r="D38" s="2463">
        <v>62.11</v>
      </c>
      <c r="E38" s="2109">
        <f t="shared" si="3"/>
        <v>0</v>
      </c>
      <c r="F38" s="2464">
        <v>62.11</v>
      </c>
      <c r="G38" s="2109" t="s">
        <v>1879</v>
      </c>
      <c r="H38"/>
      <c r="I38" s="57"/>
      <c r="J38" s="57"/>
    </row>
    <row r="39" spans="1:10">
      <c r="A39" s="64">
        <f t="shared" si="0"/>
        <v>25</v>
      </c>
      <c r="B39" s="454" t="s">
        <v>1594</v>
      </c>
      <c r="C39" s="454" t="s">
        <v>1577</v>
      </c>
      <c r="D39" s="2463">
        <v>-1220.94</v>
      </c>
      <c r="E39" s="175">
        <f t="shared" si="3"/>
        <v>-1220.94</v>
      </c>
      <c r="F39" s="2464">
        <v>0</v>
      </c>
      <c r="G39" s="2109" t="s">
        <v>1880</v>
      </c>
      <c r="H39"/>
      <c r="I39" s="57"/>
      <c r="J39" s="57"/>
    </row>
    <row r="40" spans="1:10">
      <c r="A40" s="64">
        <f t="shared" si="0"/>
        <v>26</v>
      </c>
      <c r="B40" s="454" t="s">
        <v>1594</v>
      </c>
      <c r="C40" s="454" t="s">
        <v>1577</v>
      </c>
      <c r="D40" s="2463">
        <v>87.24</v>
      </c>
      <c r="E40" s="175">
        <f t="shared" si="3"/>
        <v>87.24</v>
      </c>
      <c r="F40" s="2464">
        <v>0</v>
      </c>
      <c r="G40" s="2109" t="s">
        <v>1880</v>
      </c>
      <c r="H40"/>
      <c r="I40" s="57"/>
      <c r="J40" s="57"/>
    </row>
    <row r="41" spans="1:10">
      <c r="A41" s="64">
        <f t="shared" si="0"/>
        <v>27</v>
      </c>
      <c r="B41" s="454" t="s">
        <v>1594</v>
      </c>
      <c r="C41" s="454" t="s">
        <v>1577</v>
      </c>
      <c r="D41" s="2463">
        <v>26041.1</v>
      </c>
      <c r="E41" s="175">
        <f t="shared" si="3"/>
        <v>21154.67</v>
      </c>
      <c r="F41" s="2464">
        <v>4886.43</v>
      </c>
      <c r="G41" s="2109" t="s">
        <v>1891</v>
      </c>
      <c r="H41"/>
      <c r="I41" s="57"/>
      <c r="J41" s="57"/>
    </row>
    <row r="42" spans="1:10">
      <c r="A42" s="64">
        <f t="shared" si="0"/>
        <v>28</v>
      </c>
      <c r="B42" s="454" t="s">
        <v>1594</v>
      </c>
      <c r="C42" s="454" t="s">
        <v>1577</v>
      </c>
      <c r="D42" s="2463">
        <v>2951.8900000000003</v>
      </c>
      <c r="E42" s="175">
        <f t="shared" si="3"/>
        <v>2390.8000000000002</v>
      </c>
      <c r="F42" s="2464">
        <v>561.09</v>
      </c>
      <c r="G42" s="2109" t="s">
        <v>1880</v>
      </c>
      <c r="H42"/>
      <c r="I42" s="57"/>
      <c r="J42" s="57"/>
    </row>
    <row r="43" spans="1:10">
      <c r="A43" s="64">
        <f t="shared" si="0"/>
        <v>29</v>
      </c>
      <c r="B43" s="454" t="s">
        <v>1594</v>
      </c>
      <c r="C43" s="454" t="s">
        <v>1577</v>
      </c>
      <c r="D43" s="2463">
        <v>10213.18</v>
      </c>
      <c r="E43" s="175">
        <f t="shared" si="3"/>
        <v>10213.18</v>
      </c>
      <c r="F43" s="2464">
        <v>0</v>
      </c>
      <c r="G43" s="2109" t="s">
        <v>1640</v>
      </c>
      <c r="H43"/>
      <c r="I43" s="57"/>
      <c r="J43" s="57"/>
    </row>
    <row r="44" spans="1:10">
      <c r="A44" s="64">
        <f t="shared" si="0"/>
        <v>30</v>
      </c>
      <c r="B44" s="454" t="s">
        <v>1594</v>
      </c>
      <c r="C44" s="454" t="s">
        <v>1577</v>
      </c>
      <c r="D44" s="2463">
        <v>51271.839999999997</v>
      </c>
      <c r="E44" s="175">
        <f t="shared" si="3"/>
        <v>51271.839999999997</v>
      </c>
      <c r="F44" s="2464">
        <v>0</v>
      </c>
      <c r="G44" s="2109" t="s">
        <v>1642</v>
      </c>
      <c r="H44"/>
      <c r="I44" s="57"/>
      <c r="J44" s="57"/>
    </row>
    <row r="45" spans="1:10">
      <c r="A45" s="64">
        <f t="shared" si="0"/>
        <v>31</v>
      </c>
      <c r="B45" s="454" t="s">
        <v>1595</v>
      </c>
      <c r="C45" s="454" t="s">
        <v>1578</v>
      </c>
      <c r="D45" s="2463">
        <v>404912.9</v>
      </c>
      <c r="E45" s="175">
        <f t="shared" si="2"/>
        <v>404912.9</v>
      </c>
      <c r="F45" s="2464">
        <v>0</v>
      </c>
      <c r="G45" s="2109" t="s">
        <v>1880</v>
      </c>
      <c r="H45"/>
      <c r="I45" s="57"/>
      <c r="J45" s="57"/>
    </row>
    <row r="46" spans="1:10">
      <c r="A46" s="64">
        <f t="shared" si="0"/>
        <v>32</v>
      </c>
      <c r="B46" s="454" t="s">
        <v>1596</v>
      </c>
      <c r="C46" s="454" t="s">
        <v>1579</v>
      </c>
      <c r="D46" s="2463">
        <v>101.01</v>
      </c>
      <c r="E46" s="2109">
        <f t="shared" si="2"/>
        <v>0</v>
      </c>
      <c r="F46" s="2464">
        <v>101.01</v>
      </c>
      <c r="G46" s="2109" t="s">
        <v>1672</v>
      </c>
      <c r="I46" s="57"/>
      <c r="J46" s="57"/>
    </row>
    <row r="47" spans="1:10">
      <c r="A47" s="64">
        <f t="shared" si="0"/>
        <v>33</v>
      </c>
      <c r="B47" s="454" t="s">
        <v>1596</v>
      </c>
      <c r="C47" s="454" t="s">
        <v>1579</v>
      </c>
      <c r="D47" s="2463">
        <v>20.9</v>
      </c>
      <c r="E47" s="2109">
        <f t="shared" ref="E47:E52" si="4">D47-F47</f>
        <v>20.9</v>
      </c>
      <c r="F47" s="2464">
        <v>0</v>
      </c>
      <c r="G47" s="2109" t="s">
        <v>1639</v>
      </c>
      <c r="I47" s="57"/>
      <c r="J47" s="57"/>
    </row>
    <row r="48" spans="1:10">
      <c r="A48" s="64">
        <f t="shared" si="0"/>
        <v>34</v>
      </c>
      <c r="B48" s="454" t="s">
        <v>1596</v>
      </c>
      <c r="C48" s="454" t="s">
        <v>1579</v>
      </c>
      <c r="D48" s="2463">
        <v>670.8</v>
      </c>
      <c r="E48" s="2109">
        <f t="shared" si="4"/>
        <v>-0.20000000000004547</v>
      </c>
      <c r="F48" s="2109">
        <v>671</v>
      </c>
      <c r="G48" s="2109" t="s">
        <v>1879</v>
      </c>
      <c r="I48" s="57"/>
      <c r="J48" s="57"/>
    </row>
    <row r="49" spans="1:9">
      <c r="A49" s="64">
        <f t="shared" si="0"/>
        <v>35</v>
      </c>
      <c r="B49" s="454" t="s">
        <v>1596</v>
      </c>
      <c r="C49" s="454" t="s">
        <v>1579</v>
      </c>
      <c r="D49" s="2463">
        <v>14.49</v>
      </c>
      <c r="E49" s="2109">
        <f t="shared" si="4"/>
        <v>14.49</v>
      </c>
      <c r="F49" s="2464">
        <v>0</v>
      </c>
      <c r="G49" s="2109" t="s">
        <v>1640</v>
      </c>
    </row>
    <row r="50" spans="1:9">
      <c r="A50" s="64">
        <f t="shared" si="0"/>
        <v>36</v>
      </c>
      <c r="B50" s="454" t="s">
        <v>1596</v>
      </c>
      <c r="C50" s="454" t="s">
        <v>1579</v>
      </c>
      <c r="D50" s="2463">
        <v>72.72</v>
      </c>
      <c r="E50" s="2109">
        <f t="shared" si="4"/>
        <v>72.72</v>
      </c>
      <c r="F50" s="2464">
        <v>0</v>
      </c>
      <c r="G50" s="2109" t="s">
        <v>1642</v>
      </c>
    </row>
    <row r="51" spans="1:9">
      <c r="A51" s="64">
        <f t="shared" si="0"/>
        <v>37</v>
      </c>
      <c r="B51" s="454" t="s">
        <v>1596</v>
      </c>
      <c r="C51" s="454" t="s">
        <v>1579</v>
      </c>
      <c r="D51" s="2463">
        <v>125389.3</v>
      </c>
      <c r="E51" s="2109">
        <f t="shared" si="4"/>
        <v>0</v>
      </c>
      <c r="F51" s="2464">
        <v>125389.3</v>
      </c>
      <c r="G51" s="2109" t="s">
        <v>1879</v>
      </c>
    </row>
    <row r="52" spans="1:9">
      <c r="A52" s="64">
        <f t="shared" si="0"/>
        <v>38</v>
      </c>
      <c r="B52" s="454" t="s">
        <v>1596</v>
      </c>
      <c r="C52" s="454" t="s">
        <v>1579</v>
      </c>
      <c r="D52" s="2463">
        <v>55.61</v>
      </c>
      <c r="E52" s="2109">
        <f t="shared" si="4"/>
        <v>47</v>
      </c>
      <c r="F52" s="2464">
        <v>8.61</v>
      </c>
      <c r="G52" s="2109" t="s">
        <v>1881</v>
      </c>
    </row>
    <row r="53" spans="1:9">
      <c r="A53" s="64">
        <f t="shared" si="0"/>
        <v>39</v>
      </c>
      <c r="B53" s="145"/>
      <c r="C53" s="56"/>
      <c r="D53" s="73"/>
      <c r="E53" s="74"/>
      <c r="F53" s="75"/>
      <c r="G53" s="23"/>
    </row>
    <row r="54" spans="1:9">
      <c r="A54" s="64">
        <f t="shared" si="0"/>
        <v>40</v>
      </c>
      <c r="B54" s="71"/>
      <c r="C54" s="184" t="s">
        <v>627</v>
      </c>
      <c r="D54" s="76">
        <f>SUM(D15:D52)</f>
        <v>5330429.2199999988</v>
      </c>
      <c r="E54" s="76">
        <f>SUM(E15:E52)</f>
        <v>5058541.9699999988</v>
      </c>
      <c r="F54" s="76">
        <f>SUM(F15:F52)</f>
        <v>271887.24999999994</v>
      </c>
      <c r="G54" s="60"/>
    </row>
    <row r="55" spans="1:9">
      <c r="B55" s="71"/>
      <c r="C55" s="77"/>
      <c r="D55" s="1824"/>
      <c r="E55" s="1798"/>
      <c r="F55" s="23"/>
      <c r="G55" s="23"/>
    </row>
    <row r="56" spans="1:9">
      <c r="B56" s="30"/>
      <c r="C56" s="34" t="s">
        <v>350</v>
      </c>
      <c r="D56" s="23"/>
      <c r="E56" s="23"/>
      <c r="F56" s="23"/>
      <c r="G56" s="23"/>
      <c r="H56"/>
    </row>
    <row r="57" spans="1:9">
      <c r="A57" s="30">
        <f>A54+1</f>
        <v>41</v>
      </c>
      <c r="B57" s="455" t="s">
        <v>1021</v>
      </c>
      <c r="C57" s="176" t="s">
        <v>1530</v>
      </c>
      <c r="D57" s="2463">
        <v>246348.28</v>
      </c>
      <c r="E57" s="175">
        <f t="shared" ref="E57" si="5">D57-F57</f>
        <v>246348.28</v>
      </c>
      <c r="F57" s="2109">
        <v>0</v>
      </c>
      <c r="G57" s="174" t="s">
        <v>1024</v>
      </c>
      <c r="H57"/>
    </row>
    <row r="58" spans="1:9">
      <c r="B58" s="145"/>
      <c r="C58" s="23"/>
      <c r="D58" s="79"/>
      <c r="E58" s="80"/>
      <c r="F58" s="79"/>
      <c r="G58" s="23"/>
      <c r="H58"/>
    </row>
    <row r="59" spans="1:9">
      <c r="A59" s="30">
        <f>+A57+1</f>
        <v>42</v>
      </c>
      <c r="B59" s="71"/>
      <c r="C59" s="182" t="s">
        <v>628</v>
      </c>
      <c r="D59" s="81">
        <f>SUM(D57:D58)</f>
        <v>246348.28</v>
      </c>
      <c r="E59" s="81">
        <f>SUM(E57:E58)</f>
        <v>246348.28</v>
      </c>
      <c r="F59" s="81">
        <f>SUM(F57:F58)</f>
        <v>0</v>
      </c>
      <c r="G59" s="22"/>
    </row>
    <row r="60" spans="1:9" ht="12.75" customHeight="1">
      <c r="B60" s="18"/>
      <c r="C60" s="18"/>
      <c r="D60" s="1824"/>
      <c r="E60" s="26"/>
      <c r="F60" s="26"/>
      <c r="G60" s="18"/>
    </row>
    <row r="61" spans="1:9">
      <c r="B61" s="25"/>
      <c r="C61" s="34" t="s">
        <v>349</v>
      </c>
      <c r="D61" s="61"/>
      <c r="E61" s="61"/>
      <c r="F61" s="61"/>
      <c r="G61" s="25"/>
    </row>
    <row r="62" spans="1:9">
      <c r="A62" s="30">
        <f>+A59+1</f>
        <v>43</v>
      </c>
      <c r="B62" s="2465" t="s">
        <v>1625</v>
      </c>
      <c r="C62" s="2465" t="s">
        <v>1587</v>
      </c>
      <c r="D62" s="2465">
        <v>847975.49999999953</v>
      </c>
      <c r="E62" s="175">
        <f t="shared" ref="E62:E67" si="6">D62-F62</f>
        <v>847975.49999999953</v>
      </c>
      <c r="F62" s="456">
        <v>0</v>
      </c>
      <c r="G62" s="174"/>
      <c r="H62"/>
      <c r="I62"/>
    </row>
    <row r="63" spans="1:9">
      <c r="A63" s="30">
        <f t="shared" ref="A63:A69" si="7">+A62+1</f>
        <v>44</v>
      </c>
      <c r="B63" s="2465" t="s">
        <v>1626</v>
      </c>
      <c r="C63" s="2465" t="s">
        <v>1588</v>
      </c>
      <c r="D63" s="2465">
        <v>184782.122</v>
      </c>
      <c r="E63" s="175">
        <f t="shared" si="6"/>
        <v>184782.122</v>
      </c>
      <c r="F63" s="456">
        <v>0</v>
      </c>
      <c r="G63" s="174"/>
      <c r="H63"/>
      <c r="I63"/>
    </row>
    <row r="64" spans="1:9">
      <c r="A64" s="30">
        <f t="shared" si="7"/>
        <v>45</v>
      </c>
      <c r="B64" s="2465" t="s">
        <v>1627</v>
      </c>
      <c r="C64" s="2465" t="s">
        <v>1589</v>
      </c>
      <c r="D64" s="2465">
        <v>1415.11</v>
      </c>
      <c r="E64" s="175">
        <f t="shared" si="6"/>
        <v>1415.11</v>
      </c>
      <c r="F64" s="456">
        <v>0</v>
      </c>
      <c r="G64" s="174"/>
      <c r="H64"/>
      <c r="I64"/>
    </row>
    <row r="65" spans="1:10">
      <c r="A65" s="30">
        <f t="shared" si="7"/>
        <v>46</v>
      </c>
      <c r="B65" s="2465" t="s">
        <v>1628</v>
      </c>
      <c r="C65" s="2465" t="s">
        <v>1590</v>
      </c>
      <c r="D65" s="2465">
        <v>765454.12999999872</v>
      </c>
      <c r="E65" s="175">
        <f t="shared" si="6"/>
        <v>765454.12999999872</v>
      </c>
      <c r="F65" s="456">
        <v>0</v>
      </c>
      <c r="G65" s="174"/>
      <c r="H65"/>
      <c r="I65"/>
    </row>
    <row r="66" spans="1:10">
      <c r="A66" s="30">
        <f t="shared" si="7"/>
        <v>47</v>
      </c>
      <c r="B66" s="2465" t="s">
        <v>1629</v>
      </c>
      <c r="C66" s="2465" t="s">
        <v>1586</v>
      </c>
      <c r="D66" s="2465">
        <v>15825639.899999995</v>
      </c>
      <c r="E66" s="175">
        <f t="shared" si="6"/>
        <v>-0.10000000521540642</v>
      </c>
      <c r="F66" s="456">
        <v>15825640</v>
      </c>
      <c r="G66" s="174"/>
      <c r="H66"/>
      <c r="I66"/>
    </row>
    <row r="67" spans="1:10">
      <c r="A67" s="30">
        <f t="shared" si="7"/>
        <v>48</v>
      </c>
      <c r="B67" s="456" t="str">
        <f>B66</f>
        <v>9302007</v>
      </c>
      <c r="C67" s="456" t="s">
        <v>1556</v>
      </c>
      <c r="D67" s="2465">
        <v>798720.15000000014</v>
      </c>
      <c r="E67" s="175">
        <f t="shared" si="6"/>
        <v>798720.15000000014</v>
      </c>
      <c r="F67" s="456">
        <v>0</v>
      </c>
      <c r="G67" s="174"/>
      <c r="H67"/>
      <c r="I67"/>
    </row>
    <row r="68" spans="1:10">
      <c r="A68" s="30">
        <f t="shared" si="7"/>
        <v>49</v>
      </c>
      <c r="B68" s="456"/>
      <c r="C68" s="456"/>
      <c r="D68" s="456"/>
      <c r="E68" s="175"/>
      <c r="F68" s="175"/>
      <c r="G68" s="174"/>
      <c r="H68"/>
      <c r="I68"/>
    </row>
    <row r="69" spans="1:10">
      <c r="A69" s="30">
        <f t="shared" si="7"/>
        <v>50</v>
      </c>
      <c r="B69" s="456"/>
      <c r="C69" s="176"/>
      <c r="D69" s="175"/>
      <c r="E69" s="175"/>
      <c r="F69" s="175"/>
      <c r="G69" s="174"/>
      <c r="H69"/>
      <c r="I69"/>
    </row>
    <row r="70" spans="1:10">
      <c r="B70" s="18"/>
      <c r="C70" s="18"/>
      <c r="D70" s="18"/>
      <c r="E70" s="18"/>
      <c r="F70" s="18"/>
      <c r="G70" s="18"/>
    </row>
    <row r="71" spans="1:10">
      <c r="A71" s="30">
        <f>+A69+1</f>
        <v>51</v>
      </c>
      <c r="B71" s="18"/>
      <c r="C71" s="182" t="s">
        <v>629</v>
      </c>
      <c r="D71" s="76">
        <f>SUM(D62:D70)</f>
        <v>18423986.911999993</v>
      </c>
      <c r="E71" s="78">
        <f>SUM(E62:E70)</f>
        <v>2598346.911999993</v>
      </c>
      <c r="F71" s="78">
        <f>SUM(F62:F70)</f>
        <v>15825640</v>
      </c>
      <c r="G71" s="22"/>
      <c r="J71" s="58"/>
    </row>
    <row r="72" spans="1:10">
      <c r="B72" s="12"/>
      <c r="C72" s="1227"/>
      <c r="D72" s="1824"/>
      <c r="E72" s="12"/>
      <c r="F72" s="12"/>
      <c r="G72" s="12"/>
    </row>
    <row r="73" spans="1:10">
      <c r="D73" s="1811"/>
    </row>
    <row r="74" spans="1:10" ht="47.25" customHeight="1">
      <c r="B74" s="2359"/>
      <c r="C74" s="2359"/>
      <c r="D74" s="2359"/>
      <c r="E74" s="2359"/>
      <c r="F74" s="2359"/>
      <c r="G74" s="2359"/>
    </row>
    <row r="75" spans="1:10">
      <c r="D75" s="62"/>
    </row>
    <row r="78" spans="1:10">
      <c r="D78" s="63"/>
    </row>
  </sheetData>
  <mergeCells count="7">
    <mergeCell ref="B74:G74"/>
    <mergeCell ref="A2:G2"/>
    <mergeCell ref="A7:G7"/>
    <mergeCell ref="A6:F6"/>
    <mergeCell ref="A3:G3"/>
    <mergeCell ref="A4:G4"/>
    <mergeCell ref="A5:G5"/>
  </mergeCells>
  <phoneticPr fontId="0" type="noConversion"/>
  <conditionalFormatting sqref="H15:H22 K15:K48 H54:I54 H59 H71:I71">
    <cfRule type="cellIs" dxfId="7" priority="19" stopIfTrue="1" operator="equal">
      <formula>FALSE</formula>
    </cfRule>
  </conditionalFormatting>
  <conditionalFormatting sqref="H46:H52">
    <cfRule type="cellIs" dxfId="6" priority="12" stopIfTrue="1" operator="equal">
      <formula>FALSE</formula>
    </cfRule>
  </conditionalFormatting>
  <conditionalFormatting sqref="L26:L27">
    <cfRule type="cellIs" dxfId="5" priority="14" stopIfTrue="1" operator="equal">
      <formula>FALSE</formula>
    </cfRule>
  </conditionalFormatting>
  <printOptions horizontalCentered="1"/>
  <pageMargins left="0.75" right="0.75" top="1" bottom="0.25" header="0.65" footer="0.5"/>
  <pageSetup scale="33" orientation="portrait" horizontalDpi="1200" verticalDpi="1200" r:id="rId1"/>
  <headerFooter alignWithMargins="0">
    <oddHeader xml:space="preserve">&amp;R&amp;12AEP - SPP Formula Rate
 TCOS - WS J
Page: &amp;P of &amp;N&amp;16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R53"/>
  <sheetViews>
    <sheetView topLeftCell="A27" zoomScale="81" zoomScaleNormal="81" zoomScaleSheetLayoutView="75" workbookViewId="0">
      <selection activeCell="E14" sqref="E14"/>
    </sheetView>
  </sheetViews>
  <sheetFormatPr defaultColWidth="8.81640625" defaultRowHeight="12.5"/>
  <cols>
    <col min="1" max="1" width="9.453125" style="12" bestFit="1" customWidth="1"/>
    <col min="2" max="2" width="32.54296875" style="12" customWidth="1"/>
    <col min="3" max="4" width="8.81640625" style="12"/>
    <col min="5" max="5" width="15" style="12" customWidth="1"/>
    <col min="6" max="6" width="11" style="12" bestFit="1" customWidth="1"/>
    <col min="7" max="7" width="10.81640625" style="12" customWidth="1"/>
    <col min="8" max="8" width="5" style="12" customWidth="1"/>
    <col min="9" max="9" width="21" style="12" bestFit="1" customWidth="1"/>
    <col min="10" max="10" width="2.1796875" style="12" customWidth="1"/>
    <col min="11" max="11" width="15.54296875" style="12" bestFit="1" customWidth="1"/>
    <col min="12" max="12" width="4.81640625" style="12" customWidth="1"/>
    <col min="13" max="16384" width="8.81640625" style="12"/>
  </cols>
  <sheetData>
    <row r="1" spans="1:12" ht="15.5">
      <c r="A1" s="206"/>
    </row>
    <row r="2" spans="1:12" ht="17.5">
      <c r="A2" s="2284" t="str">
        <f>+'PSO TCOS'!F4</f>
        <v xml:space="preserve">AEP West SPP Member Operating Companies </v>
      </c>
      <c r="B2" s="2284"/>
      <c r="C2" s="2284"/>
      <c r="D2" s="2284"/>
      <c r="E2" s="2284"/>
      <c r="F2" s="2284"/>
      <c r="G2" s="2284"/>
      <c r="H2" s="2284"/>
      <c r="I2" s="111"/>
      <c r="J2" s="111"/>
    </row>
    <row r="3" spans="1:12" ht="17.5">
      <c r="A3" s="2278" t="str">
        <f>+'PSO WS A-1 - Plant'!A3</f>
        <v xml:space="preserve">Actual / Projected 2024 Rate Year Cost of Service Formula Rate </v>
      </c>
      <c r="B3" s="2278"/>
      <c r="C3" s="2278"/>
      <c r="D3" s="2278"/>
      <c r="E3" s="2278"/>
      <c r="F3" s="2278"/>
      <c r="G3" s="2278"/>
      <c r="H3" s="2278"/>
      <c r="I3" s="111"/>
      <c r="J3" s="111"/>
    </row>
    <row r="4" spans="1:12" ht="17.5">
      <c r="A4" s="2279" t="s">
        <v>114</v>
      </c>
      <c r="B4" s="2278"/>
      <c r="C4" s="2278"/>
      <c r="D4" s="2278"/>
      <c r="E4" s="2278"/>
      <c r="F4" s="2278"/>
      <c r="G4" s="2278"/>
      <c r="H4" s="2278"/>
      <c r="I4" s="111"/>
      <c r="J4" s="111"/>
    </row>
    <row r="5" spans="1:12" ht="17.5">
      <c r="A5" s="2340" t="str">
        <f>+'PSO TCOS'!F8</f>
        <v>PUBLIC SERVICE COMPANY OF OKLAHOMA</v>
      </c>
      <c r="B5" s="2340"/>
      <c r="C5" s="2340"/>
      <c r="D5" s="2340"/>
      <c r="E5" s="2340"/>
      <c r="F5" s="2340"/>
      <c r="G5" s="2340"/>
      <c r="I5" s="111"/>
      <c r="J5" s="111"/>
    </row>
    <row r="7" spans="1:12" ht="21.75" customHeight="1">
      <c r="A7" s="185" t="s">
        <v>310</v>
      </c>
      <c r="B7" s="35" t="str">
        <f>"DEVELOPMENT OF COMPOSITE STATE INCOME TAX  RATES FOR "&amp;'PSO TCOS'!$N$2&amp;""</f>
        <v>DEVELOPMENT OF COMPOSITE STATE INCOME TAX  RATES FOR 2024</v>
      </c>
      <c r="C7" s="35"/>
      <c r="D7" s="35"/>
      <c r="E7" s="35"/>
      <c r="F7" s="35"/>
      <c r="G7" s="35"/>
      <c r="H7" s="35"/>
      <c r="I7" s="35"/>
      <c r="J7" s="35"/>
    </row>
    <row r="8" spans="1:12" ht="12.75" customHeight="1">
      <c r="A8" s="35"/>
    </row>
    <row r="9" spans="1:12" ht="18">
      <c r="A9" s="65"/>
      <c r="B9" s="186" t="s">
        <v>130</v>
      </c>
      <c r="C9" s="186"/>
      <c r="D9" s="27" t="s">
        <v>131</v>
      </c>
      <c r="E9" s="2469">
        <v>3.8461538461538464E-2</v>
      </c>
      <c r="F9" s="18"/>
      <c r="G9" s="19"/>
      <c r="H9" s="19"/>
      <c r="L9" s="49"/>
    </row>
    <row r="10" spans="1:12" ht="15.5">
      <c r="A10" s="49"/>
      <c r="B10" s="18" t="s">
        <v>340</v>
      </c>
      <c r="C10" s="26"/>
      <c r="D10" s="26"/>
      <c r="E10" s="2469">
        <v>0.99670000000000003</v>
      </c>
      <c r="F10" s="18"/>
      <c r="G10" s="19"/>
      <c r="H10" s="19"/>
      <c r="L10" s="49"/>
    </row>
    <row r="11" spans="1:12" ht="15.5">
      <c r="A11" s="49"/>
      <c r="B11" s="18" t="s">
        <v>36</v>
      </c>
      <c r="C11" s="26"/>
      <c r="D11" s="26"/>
      <c r="E11" s="18"/>
      <c r="F11" s="28">
        <f>ROUND(E9*E10,6)</f>
        <v>3.8335000000000001E-2</v>
      </c>
      <c r="G11" s="19"/>
      <c r="L11" s="49"/>
    </row>
    <row r="12" spans="1:12" ht="15.5">
      <c r="A12" s="49"/>
      <c r="B12" s="18"/>
      <c r="C12" s="26"/>
      <c r="D12" s="26"/>
      <c r="E12" s="26"/>
      <c r="F12" s="28"/>
      <c r="G12" s="19"/>
      <c r="L12" s="49"/>
    </row>
    <row r="13" spans="1:12" ht="15.5">
      <c r="A13" s="49"/>
      <c r="B13" s="186" t="s">
        <v>971</v>
      </c>
      <c r="C13" s="186"/>
      <c r="D13" s="26"/>
      <c r="E13" s="2469">
        <v>7.4999999999999997E-3</v>
      </c>
      <c r="F13" s="28"/>
      <c r="G13" s="19"/>
      <c r="L13" s="49"/>
    </row>
    <row r="14" spans="1:12" ht="15.5">
      <c r="A14" s="49"/>
      <c r="B14" s="18" t="s">
        <v>340</v>
      </c>
      <c r="C14" s="26"/>
      <c r="D14" s="26"/>
      <c r="E14" s="2469">
        <v>0</v>
      </c>
      <c r="F14" s="28"/>
      <c r="G14" s="19"/>
      <c r="L14" s="49"/>
    </row>
    <row r="15" spans="1:12" ht="15.5">
      <c r="A15" s="49"/>
      <c r="B15" s="18" t="s">
        <v>36</v>
      </c>
      <c r="C15" s="26"/>
      <c r="D15" s="26"/>
      <c r="E15" s="18"/>
      <c r="F15" s="28">
        <f>ROUND(E13*E14,6)</f>
        <v>0</v>
      </c>
      <c r="G15" s="19"/>
      <c r="L15" s="49"/>
    </row>
    <row r="16" spans="1:12" ht="15.5">
      <c r="A16" s="49"/>
      <c r="B16" s="18"/>
      <c r="C16" s="26"/>
      <c r="D16" s="26"/>
      <c r="E16" s="26"/>
      <c r="F16" s="28"/>
      <c r="G16" s="19"/>
      <c r="L16" s="49"/>
    </row>
    <row r="17" spans="1:12" ht="15.5">
      <c r="A17" s="49"/>
      <c r="B17" s="186" t="s">
        <v>681</v>
      </c>
      <c r="C17" s="186"/>
      <c r="D17" s="120"/>
      <c r="E17" s="124"/>
      <c r="F17" s="121"/>
      <c r="G17" s="19"/>
      <c r="L17" s="49"/>
    </row>
    <row r="18" spans="1:12" ht="15.5">
      <c r="A18" s="49"/>
      <c r="B18" s="18" t="s">
        <v>340</v>
      </c>
      <c r="C18" s="26"/>
      <c r="D18" s="120"/>
      <c r="E18" s="124"/>
      <c r="F18" s="121"/>
      <c r="G18" s="19"/>
      <c r="L18" s="49"/>
    </row>
    <row r="19" spans="1:12" ht="15.5">
      <c r="A19" s="49"/>
      <c r="B19" s="18" t="s">
        <v>36</v>
      </c>
      <c r="C19" s="26"/>
      <c r="D19" s="120"/>
      <c r="E19" s="18"/>
      <c r="F19" s="28">
        <f>ROUND(E17*E18,6)</f>
        <v>0</v>
      </c>
      <c r="G19" s="19"/>
      <c r="L19" s="49"/>
    </row>
    <row r="20" spans="1:12" ht="15.5">
      <c r="A20" s="49"/>
      <c r="B20" s="18"/>
      <c r="C20" s="26"/>
      <c r="D20" s="120"/>
      <c r="E20" s="26"/>
      <c r="F20" s="28"/>
      <c r="G20" s="19"/>
      <c r="L20" s="49"/>
    </row>
    <row r="21" spans="1:12" ht="15.5">
      <c r="A21" s="49"/>
      <c r="B21" s="186" t="s">
        <v>681</v>
      </c>
      <c r="C21" s="186"/>
      <c r="D21" s="120"/>
      <c r="E21" s="124"/>
      <c r="F21" s="28"/>
      <c r="G21" s="19"/>
      <c r="L21" s="49"/>
    </row>
    <row r="22" spans="1:12" ht="15.5">
      <c r="A22" s="49"/>
      <c r="B22" s="18" t="s">
        <v>340</v>
      </c>
      <c r="C22" s="120"/>
      <c r="D22" s="120"/>
      <c r="E22" s="124"/>
      <c r="F22" s="28"/>
      <c r="G22" s="19"/>
      <c r="L22" s="49"/>
    </row>
    <row r="23" spans="1:12" ht="15.5">
      <c r="A23" s="49"/>
      <c r="B23" s="18" t="s">
        <v>36</v>
      </c>
      <c r="C23" s="120"/>
      <c r="D23" s="120"/>
      <c r="E23" s="122"/>
      <c r="F23" s="28">
        <f>ROUND(E21*E22,6)</f>
        <v>0</v>
      </c>
      <c r="G23" s="19"/>
      <c r="L23" s="49"/>
    </row>
    <row r="24" spans="1:12" ht="15.5">
      <c r="A24" s="49"/>
      <c r="B24" s="18"/>
      <c r="C24" s="26"/>
      <c r="D24" s="26"/>
      <c r="E24" s="18"/>
      <c r="F24" s="28"/>
      <c r="G24" s="19"/>
      <c r="L24" s="49"/>
    </row>
    <row r="25" spans="1:12" ht="15.5">
      <c r="A25" s="49"/>
      <c r="B25" s="186" t="s">
        <v>429</v>
      </c>
      <c r="C25" s="186"/>
      <c r="D25" s="120"/>
      <c r="E25" s="124"/>
      <c r="F25" s="28"/>
      <c r="G25" s="19"/>
      <c r="L25" s="49"/>
    </row>
    <row r="26" spans="1:12" ht="15.5">
      <c r="A26" s="49"/>
      <c r="B26" s="18" t="s">
        <v>340</v>
      </c>
      <c r="C26" s="120"/>
      <c r="D26" s="120"/>
      <c r="E26" s="124"/>
      <c r="F26" s="28"/>
      <c r="G26" s="19"/>
      <c r="L26" s="49"/>
    </row>
    <row r="27" spans="1:12" ht="15.5">
      <c r="A27" s="49"/>
      <c r="B27" s="18" t="s">
        <v>36</v>
      </c>
      <c r="C27" s="120"/>
      <c r="D27" s="120"/>
      <c r="E27" s="122"/>
      <c r="F27" s="28">
        <f>ROUND(E25*E26,6)</f>
        <v>0</v>
      </c>
      <c r="G27" s="19"/>
      <c r="L27" s="49"/>
    </row>
    <row r="28" spans="1:12" ht="15.5">
      <c r="A28" s="49"/>
      <c r="B28" s="18"/>
      <c r="C28" s="26"/>
      <c r="D28" s="26"/>
      <c r="E28" s="18"/>
      <c r="F28" s="28"/>
      <c r="G28" s="19"/>
      <c r="L28" s="49"/>
    </row>
    <row r="29" spans="1:12" ht="16" thickBot="1">
      <c r="A29" s="49"/>
      <c r="B29" s="18" t="s">
        <v>341</v>
      </c>
      <c r="C29" s="26"/>
      <c r="D29" s="26"/>
      <c r="E29" s="18"/>
      <c r="F29" s="50">
        <f>+ROUND(SUM(F10:F28),4)</f>
        <v>3.8300000000000001E-2</v>
      </c>
      <c r="G29" s="19"/>
      <c r="I29" s="112"/>
      <c r="L29" s="49"/>
    </row>
    <row r="30" spans="1:12" ht="13.5" thickTop="1">
      <c r="A30" s="49"/>
      <c r="G30" s="19"/>
      <c r="L30" s="49"/>
    </row>
    <row r="31" spans="1:12" ht="15.5">
      <c r="A31" s="49"/>
      <c r="B31" s="187" t="s">
        <v>1518</v>
      </c>
      <c r="G31" s="19"/>
      <c r="L31" s="49"/>
    </row>
    <row r="32" spans="1:12" ht="15.5">
      <c r="A32" s="49"/>
      <c r="B32" s="18" t="s">
        <v>1519</v>
      </c>
      <c r="G32" s="19"/>
      <c r="L32" s="49"/>
    </row>
    <row r="33" spans="1:18" ht="15.5">
      <c r="A33" s="49"/>
      <c r="B33" s="18"/>
      <c r="G33" s="19"/>
      <c r="L33" s="49"/>
    </row>
    <row r="34" spans="1:18" ht="18">
      <c r="A34" s="185" t="s">
        <v>311</v>
      </c>
      <c r="B34" s="35" t="s">
        <v>360</v>
      </c>
      <c r="C34" s="18"/>
      <c r="D34" s="18"/>
      <c r="E34" s="18"/>
      <c r="F34" s="18"/>
    </row>
    <row r="35" spans="1:18" ht="18">
      <c r="C35" s="35"/>
      <c r="I35" s="2362" t="s">
        <v>502</v>
      </c>
      <c r="J35" s="2362"/>
      <c r="K35" s="2362"/>
      <c r="L35" s="18"/>
    </row>
    <row r="36" spans="1:18" ht="15.5">
      <c r="I36" s="18"/>
      <c r="J36" s="18"/>
      <c r="K36" s="18"/>
      <c r="L36" s="18"/>
    </row>
    <row r="37" spans="1:18" ht="15.5">
      <c r="I37" s="47" t="s">
        <v>37</v>
      </c>
      <c r="J37" s="47"/>
      <c r="K37" s="47" t="s">
        <v>38</v>
      </c>
      <c r="L37" s="18"/>
    </row>
    <row r="38" spans="1:18" ht="15.5">
      <c r="A38" s="47" t="s">
        <v>153</v>
      </c>
      <c r="B38" s="4" t="str">
        <f>"REVENUE REQUIREMENT BEFORE TEXAS GROSS MARGIN TAX (TCOS ln "&amp;'PSO TCOS'!B191&amp;") "</f>
        <v xml:space="preserve">REVENUE REQUIREMENT BEFORE TEXAS GROSS MARGIN TAX (TCOS ln 116) </v>
      </c>
      <c r="I38" s="189">
        <f>+'PSO TCOS'!G188</f>
        <v>630416984.90035057</v>
      </c>
      <c r="J38" s="18"/>
      <c r="K38" s="189">
        <f>+'PSO TCOS'!L188</f>
        <v>134973025.19654</v>
      </c>
      <c r="L38" s="18"/>
    </row>
    <row r="39" spans="1:18" ht="15.5">
      <c r="A39" s="18"/>
      <c r="B39" s="4"/>
      <c r="I39" s="18"/>
      <c r="J39" s="18"/>
      <c r="K39" s="18"/>
      <c r="L39" s="18"/>
    </row>
    <row r="40" spans="1:18" ht="15.5">
      <c r="A40" s="47">
        <v>1</v>
      </c>
      <c r="B40" s="4" t="str">
        <f>"Apportionment Factor to Texas (ln"&amp;A53&amp;")"</f>
        <v>Apportionment Factor to Texas (ln12)</v>
      </c>
      <c r="I40" s="113">
        <f>+$E53</f>
        <v>0</v>
      </c>
      <c r="J40" s="18"/>
      <c r="K40" s="113">
        <f>+$E53</f>
        <v>0</v>
      </c>
      <c r="L40" s="18"/>
      <c r="R40" s="467"/>
    </row>
    <row r="41" spans="1:18" ht="15.5">
      <c r="A41" s="47">
        <f t="shared" ref="A41:A46" si="0">+A40+1</f>
        <v>2</v>
      </c>
      <c r="B41" s="4" t="s">
        <v>39</v>
      </c>
      <c r="I41" s="53">
        <f>+I38*I40</f>
        <v>0</v>
      </c>
      <c r="J41" s="18"/>
      <c r="K41" s="53">
        <f>+K38*K40</f>
        <v>0</v>
      </c>
      <c r="L41" s="18"/>
      <c r="R41" s="467"/>
    </row>
    <row r="42" spans="1:18" ht="15.5">
      <c r="A42" s="47">
        <f t="shared" si="0"/>
        <v>3</v>
      </c>
      <c r="B42" s="4" t="s">
        <v>669</v>
      </c>
      <c r="I42" s="192">
        <v>0.14000000000000001</v>
      </c>
      <c r="J42" s="18"/>
      <c r="K42" s="191">
        <f>+I42</f>
        <v>0.14000000000000001</v>
      </c>
      <c r="L42" s="18"/>
      <c r="R42" s="467"/>
    </row>
    <row r="43" spans="1:18" ht="15.5">
      <c r="A43" s="47">
        <f t="shared" si="0"/>
        <v>4</v>
      </c>
      <c r="B43" s="4" t="s">
        <v>40</v>
      </c>
      <c r="I43" s="2202">
        <f>+I41*I42</f>
        <v>0</v>
      </c>
      <c r="J43" s="2203"/>
      <c r="K43" s="2202">
        <f>+K41*K42</f>
        <v>0</v>
      </c>
      <c r="L43" s="18"/>
      <c r="R43" s="468"/>
    </row>
    <row r="44" spans="1:18" ht="15.5">
      <c r="A44" s="47">
        <f t="shared" si="0"/>
        <v>5</v>
      </c>
      <c r="B44" s="4" t="s">
        <v>670</v>
      </c>
      <c r="I44" s="191">
        <v>0.01</v>
      </c>
      <c r="J44" s="18"/>
      <c r="K44" s="191">
        <f>+I44</f>
        <v>0.01</v>
      </c>
      <c r="L44" s="18"/>
      <c r="R44" s="468"/>
    </row>
    <row r="45" spans="1:18" ht="15.5">
      <c r="A45" s="47">
        <f t="shared" si="0"/>
        <v>6</v>
      </c>
      <c r="B45" s="4" t="s">
        <v>41</v>
      </c>
      <c r="I45" s="2204">
        <f>+I43*I44</f>
        <v>0</v>
      </c>
      <c r="J45" s="2203"/>
      <c r="K45" s="2204">
        <f>+K43*K44</f>
        <v>0</v>
      </c>
      <c r="L45" s="18"/>
      <c r="R45" s="468"/>
    </row>
    <row r="46" spans="1:18" ht="15.5">
      <c r="A46" s="47">
        <f t="shared" si="0"/>
        <v>7</v>
      </c>
      <c r="B46" s="6" t="s">
        <v>42</v>
      </c>
      <c r="I46" s="2205">
        <f>+ROUND((I45*I42*I40)/(1-I44)*I44,0)</f>
        <v>0</v>
      </c>
      <c r="J46" s="2203"/>
      <c r="K46" s="2205">
        <f>+ROUND((K45*K42*K40)/(1-K44)*K44,0)</f>
        <v>0</v>
      </c>
      <c r="L46" s="18"/>
      <c r="R46" s="468"/>
    </row>
    <row r="47" spans="1:18" ht="15.5">
      <c r="A47" s="47"/>
      <c r="B47" s="6"/>
      <c r="D47" s="188" t="str">
        <f>"   ((ln "&amp;A45&amp;" * ln "&amp;A42&amp;" * ln "&amp;A40&amp;")/(1- ln "&amp;A44&amp;") * ln "&amp;A44&amp;")"</f>
        <v xml:space="preserve">   ((ln 6 * ln 3 * ln 1)/(1- ln 5) * ln 5)</v>
      </c>
      <c r="I47" s="2205"/>
      <c r="J47" s="2203"/>
      <c r="K47" s="2205"/>
      <c r="L47" s="18"/>
      <c r="R47" s="468"/>
    </row>
    <row r="48" spans="1:18" ht="15.5">
      <c r="A48" s="47">
        <f>+A46+1</f>
        <v>8</v>
      </c>
      <c r="B48" s="6" t="s">
        <v>31</v>
      </c>
      <c r="I48" s="2206">
        <f>+I45+I46</f>
        <v>0</v>
      </c>
      <c r="J48" s="2203"/>
      <c r="K48" s="2206">
        <f>+K45+K46</f>
        <v>0</v>
      </c>
      <c r="L48" s="18"/>
      <c r="R48" s="468"/>
    </row>
    <row r="49" spans="1:18" ht="15.5">
      <c r="A49" s="47"/>
      <c r="I49" s="18"/>
      <c r="J49" s="18"/>
      <c r="K49" s="18"/>
      <c r="L49" s="18"/>
      <c r="R49" s="468"/>
    </row>
    <row r="50" spans="1:18" ht="15.5">
      <c r="A50" s="47">
        <f>+A48+1</f>
        <v>9</v>
      </c>
      <c r="B50" s="4" t="s">
        <v>43</v>
      </c>
      <c r="C50" s="17"/>
      <c r="D50" s="5"/>
      <c r="E50" s="3"/>
      <c r="R50" s="468"/>
    </row>
    <row r="51" spans="1:18" ht="15.5">
      <c r="A51" s="47">
        <f>+A50+1</f>
        <v>10</v>
      </c>
      <c r="B51" s="4" t="s">
        <v>44</v>
      </c>
      <c r="C51" s="17"/>
      <c r="D51" s="5"/>
      <c r="E51" s="190">
        <v>0</v>
      </c>
      <c r="F51" s="12" t="s">
        <v>1</v>
      </c>
      <c r="G51" s="923"/>
      <c r="R51" s="468"/>
    </row>
    <row r="52" spans="1:18" ht="15.5">
      <c r="A52" s="47">
        <f>+A51+1</f>
        <v>11</v>
      </c>
      <c r="B52" s="4" t="s">
        <v>45</v>
      </c>
      <c r="C52" s="17"/>
      <c r="D52" s="5"/>
      <c r="E52" s="190">
        <v>0</v>
      </c>
      <c r="F52" s="12" t="s">
        <v>1</v>
      </c>
      <c r="R52" s="467"/>
    </row>
    <row r="53" spans="1:18" ht="15.5">
      <c r="A53" s="47">
        <f>+A52+1</f>
        <v>12</v>
      </c>
      <c r="B53" s="4" t="s">
        <v>46</v>
      </c>
      <c r="C53" s="17" t="str">
        <f>"(ln "&amp;A51&amp;" / ln "&amp;A52&amp;")"</f>
        <v>(ln 10 / ln 11)</v>
      </c>
      <c r="D53" s="5"/>
      <c r="E53" s="51">
        <f>IF(E52=0,0,E51/E52)</f>
        <v>0</v>
      </c>
    </row>
  </sheetData>
  <mergeCells count="5">
    <mergeCell ref="I35:K35"/>
    <mergeCell ref="A2:H2"/>
    <mergeCell ref="A3:H3"/>
    <mergeCell ref="A4:H4"/>
    <mergeCell ref="A5:G5"/>
  </mergeCells>
  <phoneticPr fontId="0" type="noConversion"/>
  <printOptions horizontalCentered="1"/>
  <pageMargins left="0.25" right="0.25" top="1" bottom="0.25" header="0.25" footer="0.5"/>
  <pageSetup scale="65"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C181"/>
  <sheetViews>
    <sheetView showGridLines="0" zoomScale="70" zoomScaleNormal="70" zoomScaleSheetLayoutView="75" zoomScalePageLayoutView="90" workbookViewId="0">
      <selection activeCell="Q35" sqref="Q35"/>
    </sheetView>
  </sheetViews>
  <sheetFormatPr defaultColWidth="9.1796875" defaultRowHeight="12.5"/>
  <cols>
    <col min="1" max="1" width="7.453125" style="109" customWidth="1"/>
    <col min="2" max="2" width="1.54296875" style="89" customWidth="1"/>
    <col min="3" max="3" width="77" style="89" customWidth="1"/>
    <col min="4" max="4" width="1.54296875" style="89" customWidth="1"/>
    <col min="5" max="5" width="20.453125" style="110" customWidth="1"/>
    <col min="6" max="6" width="1.54296875" style="89" customWidth="1"/>
    <col min="7" max="7" width="20" style="89" bestFit="1" customWidth="1"/>
    <col min="8" max="8" width="1.54296875" style="89" customWidth="1"/>
    <col min="9" max="9" width="21.453125" style="89" customWidth="1"/>
    <col min="10" max="10" width="1.54296875" style="89" customWidth="1"/>
    <col min="11" max="11" width="17.54296875" style="89" bestFit="1" customWidth="1"/>
    <col min="12" max="12" width="3.453125" style="89" customWidth="1"/>
    <col min="13" max="13" width="21.453125" style="89" bestFit="1" customWidth="1"/>
    <col min="14" max="14" width="1.54296875" style="89" hidden="1" customWidth="1"/>
    <col min="15" max="15" width="22.1796875" style="2219" customWidth="1"/>
    <col min="16" max="16" width="9.1796875" style="89"/>
    <col min="17" max="17" width="13.81640625" style="89" bestFit="1" customWidth="1"/>
    <col min="18" max="18" width="19.54296875" style="89" bestFit="1" customWidth="1"/>
    <col min="19" max="19" width="9.81640625" style="89" bestFit="1" customWidth="1"/>
    <col min="20" max="20" width="18.81640625" style="89" bestFit="1" customWidth="1"/>
    <col min="21" max="21" width="13" style="89" customWidth="1"/>
    <col min="22" max="16384" width="9.1796875" style="89"/>
  </cols>
  <sheetData>
    <row r="1" spans="1:29" ht="15.5">
      <c r="A1" s="209"/>
    </row>
    <row r="2" spans="1:29" ht="18.75" customHeight="1">
      <c r="A2" s="2284" t="str">
        <f>+'PSO TCOS'!F4</f>
        <v xml:space="preserve">AEP West SPP Member Operating Companies </v>
      </c>
      <c r="B2" s="2284"/>
      <c r="C2" s="2284"/>
      <c r="D2" s="2284"/>
      <c r="E2" s="2284"/>
      <c r="F2" s="2284"/>
      <c r="G2" s="2284"/>
      <c r="H2" s="2284"/>
      <c r="I2" s="2284"/>
      <c r="J2" s="2284"/>
      <c r="K2" s="2284"/>
      <c r="L2" s="2284"/>
      <c r="M2" s="2284"/>
    </row>
    <row r="3" spans="1:29" ht="18.75" customHeight="1">
      <c r="A3" s="2278" t="str">
        <f>+'PSO WS A-1 - Plant'!A3</f>
        <v xml:space="preserve">Actual / Projected 2024 Rate Year Cost of Service Formula Rate </v>
      </c>
      <c r="B3" s="2278"/>
      <c r="C3" s="2278"/>
      <c r="D3" s="2278"/>
      <c r="E3" s="2278"/>
      <c r="F3" s="2278"/>
      <c r="G3" s="2278"/>
      <c r="H3" s="2278"/>
      <c r="I3" s="2278"/>
      <c r="J3" s="2278"/>
      <c r="K3" s="2278"/>
      <c r="L3" s="2278"/>
      <c r="M3" s="2278"/>
    </row>
    <row r="4" spans="1:29" ht="18.75" customHeight="1">
      <c r="A4" s="2279" t="s">
        <v>115</v>
      </c>
      <c r="B4" s="2278"/>
      <c r="C4" s="2278"/>
      <c r="D4" s="2278"/>
      <c r="E4" s="2278"/>
      <c r="F4" s="2278"/>
      <c r="G4" s="2278"/>
      <c r="H4" s="2278"/>
      <c r="I4" s="2278"/>
      <c r="J4" s="2278"/>
      <c r="K4" s="2278"/>
      <c r="L4" s="2278"/>
      <c r="M4" s="2278"/>
    </row>
    <row r="5" spans="1:29" ht="18" customHeight="1">
      <c r="A5" s="2365" t="str">
        <f>+'PSO TCOS'!F8</f>
        <v>PUBLIC SERVICE COMPANY OF OKLAHOMA</v>
      </c>
      <c r="B5" s="2365"/>
      <c r="C5" s="2365"/>
      <c r="D5" s="2365"/>
      <c r="E5" s="2365"/>
      <c r="F5" s="2365"/>
      <c r="G5" s="2365"/>
      <c r="H5" s="2365"/>
      <c r="I5" s="2365"/>
      <c r="J5" s="2365"/>
      <c r="K5" s="2365"/>
      <c r="L5" s="2365"/>
      <c r="M5" s="2365"/>
    </row>
    <row r="6" spans="1:29" ht="18" customHeight="1">
      <c r="A6" s="2364"/>
      <c r="B6" s="2364"/>
      <c r="C6" s="2364"/>
      <c r="D6" s="2364"/>
      <c r="E6" s="2364"/>
      <c r="F6" s="2364"/>
      <c r="G6" s="2364"/>
      <c r="H6" s="2364"/>
      <c r="I6" s="2364"/>
      <c r="J6" s="2364"/>
      <c r="K6" s="2364"/>
      <c r="L6" s="2364"/>
      <c r="M6" s="2364"/>
    </row>
    <row r="7" spans="1:29" ht="18" customHeight="1">
      <c r="A7" s="2363"/>
      <c r="B7" s="2363"/>
      <c r="C7" s="2363"/>
      <c r="D7" s="2363"/>
      <c r="E7" s="2363"/>
      <c r="F7" s="2363"/>
      <c r="G7" s="2363"/>
      <c r="H7" s="2363"/>
      <c r="I7" s="2363"/>
      <c r="J7" s="2363"/>
      <c r="K7" s="2363"/>
      <c r="L7" s="2363"/>
      <c r="M7" s="2363"/>
    </row>
    <row r="8" spans="1:29" ht="18" customHeight="1">
      <c r="A8" s="88"/>
      <c r="B8" s="88"/>
      <c r="C8" s="88"/>
      <c r="D8" s="88"/>
      <c r="E8" s="88"/>
      <c r="F8" s="88"/>
      <c r="G8" s="88"/>
      <c r="H8" s="88"/>
      <c r="I8" s="88"/>
      <c r="J8" s="88"/>
      <c r="K8" s="88"/>
      <c r="L8" s="88"/>
      <c r="M8" s="88"/>
    </row>
    <row r="9" spans="1:29" ht="19.5" customHeight="1">
      <c r="A9" s="90"/>
      <c r="B9" s="45"/>
      <c r="C9" s="25" t="s">
        <v>301</v>
      </c>
      <c r="E9" s="25" t="s">
        <v>302</v>
      </c>
      <c r="G9" s="25" t="s">
        <v>303</v>
      </c>
      <c r="I9" s="25" t="s">
        <v>304</v>
      </c>
      <c r="K9" s="25" t="s">
        <v>229</v>
      </c>
      <c r="M9" s="25" t="s">
        <v>230</v>
      </c>
    </row>
    <row r="10" spans="1:29" ht="18">
      <c r="A10" s="91"/>
      <c r="B10" s="92"/>
      <c r="C10" s="92"/>
      <c r="D10" s="92"/>
      <c r="E10" s="12"/>
      <c r="F10" s="12"/>
      <c r="G10" s="12"/>
      <c r="H10" s="12"/>
      <c r="I10" s="12"/>
      <c r="J10" s="12"/>
      <c r="K10" s="12"/>
      <c r="L10" s="12"/>
      <c r="M10" s="12"/>
      <c r="Q10" s="47"/>
      <c r="R10" s="47"/>
      <c r="S10" s="47"/>
      <c r="T10" s="47"/>
      <c r="U10" s="47"/>
      <c r="V10" s="47"/>
      <c r="W10" s="47"/>
      <c r="X10" s="47"/>
      <c r="Y10" s="47"/>
      <c r="Z10" s="47"/>
      <c r="AA10" s="47"/>
      <c r="AB10" s="47"/>
      <c r="AC10" s="47"/>
    </row>
    <row r="11" spans="1:29" ht="18">
      <c r="A11" s="91" t="s">
        <v>308</v>
      </c>
      <c r="B11" s="92"/>
      <c r="C11" s="92"/>
      <c r="D11" s="92"/>
      <c r="E11" s="93" t="s">
        <v>258</v>
      </c>
      <c r="F11" s="91"/>
      <c r="G11" s="91"/>
      <c r="H11" s="91"/>
      <c r="I11" s="91"/>
      <c r="J11" s="91"/>
      <c r="K11" s="94"/>
      <c r="L11" s="94"/>
      <c r="M11" s="95"/>
    </row>
    <row r="12" spans="1:29" ht="18">
      <c r="A12" s="96" t="s">
        <v>257</v>
      </c>
      <c r="B12" s="92"/>
      <c r="C12" s="96" t="s">
        <v>390</v>
      </c>
      <c r="D12" s="92"/>
      <c r="E12" s="97" t="s">
        <v>320</v>
      </c>
      <c r="F12" s="91"/>
      <c r="G12" s="96" t="s">
        <v>391</v>
      </c>
      <c r="H12" s="91"/>
      <c r="I12" s="96" t="s">
        <v>300</v>
      </c>
      <c r="J12" s="91"/>
      <c r="K12" s="98" t="s">
        <v>318</v>
      </c>
      <c r="L12" s="99"/>
      <c r="M12" s="98" t="s">
        <v>392</v>
      </c>
    </row>
    <row r="13" spans="1:29" ht="17.5">
      <c r="A13" s="90"/>
      <c r="B13" s="45"/>
      <c r="C13" s="100"/>
      <c r="D13" s="100"/>
      <c r="E13" s="100"/>
      <c r="F13" s="100"/>
      <c r="G13" s="100"/>
      <c r="H13" s="100"/>
      <c r="I13" s="100"/>
      <c r="J13" s="100"/>
      <c r="K13" s="37"/>
      <c r="L13" s="37"/>
    </row>
    <row r="14" spans="1:29" ht="17.5">
      <c r="A14" s="90"/>
      <c r="B14" s="45"/>
      <c r="C14" s="1635"/>
      <c r="D14" s="45"/>
      <c r="E14" s="1636"/>
      <c r="F14" s="45"/>
      <c r="G14" s="45"/>
      <c r="H14" s="45"/>
      <c r="I14" s="1636"/>
      <c r="J14" s="45"/>
      <c r="K14" s="37"/>
      <c r="L14" s="37"/>
      <c r="M14" s="89" t="s">
        <v>1531</v>
      </c>
    </row>
    <row r="15" spans="1:29" ht="17.5">
      <c r="A15" s="90">
        <v>1</v>
      </c>
      <c r="B15" s="45"/>
      <c r="C15" s="101" t="s">
        <v>395</v>
      </c>
      <c r="D15" s="45"/>
      <c r="E15" s="37"/>
      <c r="F15" s="37"/>
      <c r="G15" s="102"/>
      <c r="H15" s="102"/>
      <c r="I15" s="102"/>
      <c r="J15" s="102"/>
      <c r="K15" s="102"/>
      <c r="L15" s="102"/>
      <c r="M15" s="102"/>
    </row>
    <row r="16" spans="1:29" ht="17.5">
      <c r="A16" s="90">
        <f>+A15+1</f>
        <v>2</v>
      </c>
      <c r="B16" s="45"/>
      <c r="C16" s="173" t="s">
        <v>1006</v>
      </c>
      <c r="D16" s="45"/>
      <c r="E16" s="173">
        <v>4</v>
      </c>
      <c r="F16" s="37"/>
      <c r="G16" s="173"/>
      <c r="H16" s="173"/>
      <c r="I16" s="173"/>
      <c r="J16" s="173"/>
      <c r="K16" s="173"/>
      <c r="L16" s="173"/>
      <c r="M16" s="173">
        <f>+E16</f>
        <v>4</v>
      </c>
    </row>
    <row r="17" spans="1:25" ht="17.5">
      <c r="A17" s="90"/>
      <c r="B17" s="45"/>
      <c r="C17" s="94"/>
      <c r="D17" s="45"/>
      <c r="E17" s="37"/>
      <c r="F17" s="37"/>
      <c r="G17" s="37"/>
      <c r="H17" s="37"/>
      <c r="I17" s="37"/>
      <c r="J17" s="37"/>
      <c r="K17" s="37"/>
      <c r="L17" s="37"/>
      <c r="M17" s="37"/>
    </row>
    <row r="18" spans="1:25" ht="17.5">
      <c r="A18" s="90">
        <f>16+1</f>
        <v>17</v>
      </c>
      <c r="B18" s="45"/>
      <c r="C18" s="101" t="s">
        <v>396</v>
      </c>
      <c r="D18" s="45"/>
      <c r="E18" s="1808"/>
      <c r="F18" s="457"/>
      <c r="G18" s="458"/>
      <c r="H18" s="458"/>
      <c r="I18" s="458"/>
      <c r="J18" s="458"/>
      <c r="K18" s="458"/>
      <c r="L18" s="458"/>
      <c r="M18" s="458"/>
      <c r="O18" s="2220"/>
    </row>
    <row r="19" spans="1:25" ht="17.5">
      <c r="A19" s="90">
        <f>+A18+1</f>
        <v>18</v>
      </c>
      <c r="B19" s="45"/>
      <c r="C19" s="173" t="s">
        <v>976</v>
      </c>
      <c r="D19" s="45"/>
      <c r="E19" s="173">
        <f>138681+63568280</f>
        <v>63706961</v>
      </c>
      <c r="F19" s="45"/>
      <c r="G19" s="173">
        <f>+E19</f>
        <v>63706961</v>
      </c>
      <c r="H19" s="173"/>
      <c r="I19" s="173"/>
      <c r="J19" s="173"/>
      <c r="K19" s="173"/>
      <c r="L19" s="173"/>
      <c r="M19" s="173"/>
      <c r="O19" s="2220"/>
      <c r="P19" s="12"/>
      <c r="Q19" s="12"/>
      <c r="R19" s="12"/>
      <c r="S19" s="12"/>
      <c r="T19" s="12"/>
      <c r="U19" s="12"/>
      <c r="V19" s="12"/>
      <c r="W19" s="12"/>
      <c r="X19" s="12"/>
      <c r="Y19" s="12"/>
    </row>
    <row r="20" spans="1:25" ht="17.5">
      <c r="A20" s="90">
        <f>+A19+1</f>
        <v>19</v>
      </c>
      <c r="B20" s="45"/>
      <c r="C20" s="173" t="s">
        <v>979</v>
      </c>
      <c r="D20" s="45"/>
      <c r="E20" s="173">
        <f>223+710673</f>
        <v>710896</v>
      </c>
      <c r="F20" s="37"/>
      <c r="G20" s="173">
        <f>+E20</f>
        <v>710896</v>
      </c>
      <c r="H20" s="173"/>
      <c r="I20" s="173"/>
      <c r="J20" s="173"/>
      <c r="K20" s="173"/>
      <c r="L20" s="173"/>
      <c r="M20" s="173"/>
      <c r="O20" s="2220"/>
      <c r="P20" s="12"/>
      <c r="Q20" s="12"/>
      <c r="R20" s="12"/>
      <c r="S20" s="12"/>
      <c r="T20" s="12"/>
      <c r="U20" s="12"/>
      <c r="V20" s="12"/>
      <c r="W20" s="12"/>
      <c r="X20" s="12"/>
      <c r="Y20" s="12"/>
    </row>
    <row r="21" spans="1:25" ht="17.5">
      <c r="A21" s="90">
        <f>+A20+1</f>
        <v>20</v>
      </c>
      <c r="B21" s="45"/>
      <c r="C21" s="459" t="s">
        <v>978</v>
      </c>
      <c r="D21" s="45"/>
      <c r="E21" s="205">
        <v>0</v>
      </c>
      <c r="F21" s="45"/>
      <c r="G21" s="173">
        <f>+E21</f>
        <v>0</v>
      </c>
      <c r="H21" s="173"/>
      <c r="I21" s="173"/>
      <c r="J21" s="173"/>
      <c r="K21" s="173"/>
      <c r="L21" s="173"/>
      <c r="M21" s="205"/>
      <c r="O21" s="2220"/>
      <c r="P21" s="12"/>
      <c r="Q21" s="12"/>
      <c r="R21" s="12"/>
      <c r="S21" s="12"/>
      <c r="T21" s="12"/>
      <c r="U21" s="12"/>
      <c r="V21" s="12"/>
      <c r="W21" s="12"/>
      <c r="X21" s="12"/>
      <c r="Y21" s="12"/>
    </row>
    <row r="22" spans="1:25" ht="17.5">
      <c r="A22" s="90"/>
      <c r="B22" s="45"/>
      <c r="C22" s="94"/>
      <c r="D22" s="45"/>
      <c r="E22" s="37"/>
      <c r="F22" s="37"/>
      <c r="G22" s="37"/>
      <c r="H22" s="37"/>
      <c r="I22" s="37"/>
      <c r="J22" s="37"/>
      <c r="K22" s="37"/>
      <c r="L22" s="37"/>
      <c r="M22" s="37"/>
      <c r="O22" s="2223"/>
      <c r="P22" s="12"/>
      <c r="Q22" s="12"/>
      <c r="R22" s="12"/>
      <c r="S22" s="12"/>
      <c r="T22" s="12"/>
      <c r="U22" s="12"/>
      <c r="V22" s="12"/>
      <c r="W22" s="12"/>
      <c r="X22" s="12"/>
      <c r="Y22" s="12"/>
    </row>
    <row r="23" spans="1:25" ht="17.5">
      <c r="A23" s="90">
        <f>21+1</f>
        <v>22</v>
      </c>
      <c r="B23" s="45"/>
      <c r="C23" s="101" t="s">
        <v>397</v>
      </c>
      <c r="D23" s="45"/>
      <c r="E23" s="37"/>
      <c r="F23" s="37"/>
      <c r="G23" s="37"/>
      <c r="H23" s="37"/>
      <c r="I23" s="37"/>
      <c r="J23" s="37"/>
      <c r="K23" s="37"/>
      <c r="L23" s="37"/>
      <c r="M23" s="37"/>
      <c r="O23" s="2224"/>
      <c r="P23" s="12"/>
      <c r="Q23" s="12"/>
      <c r="R23" s="2225"/>
      <c r="S23" s="12"/>
      <c r="T23" s="12"/>
      <c r="U23" s="12"/>
      <c r="V23" s="12"/>
      <c r="W23" s="12"/>
      <c r="X23" s="12"/>
      <c r="Y23" s="12"/>
    </row>
    <row r="24" spans="1:25" ht="17.5">
      <c r="A24" s="90">
        <f>+A23+1</f>
        <v>23</v>
      </c>
      <c r="B24" s="45"/>
      <c r="C24" s="173" t="s">
        <v>980</v>
      </c>
      <c r="D24" s="45"/>
      <c r="E24" s="173">
        <v>5208662</v>
      </c>
      <c r="F24" s="37"/>
      <c r="G24" s="173"/>
      <c r="H24" s="173"/>
      <c r="I24" s="173">
        <f>+E24</f>
        <v>5208662</v>
      </c>
      <c r="J24" s="173"/>
      <c r="K24" s="173"/>
      <c r="L24" s="173"/>
      <c r="M24" s="173"/>
      <c r="O24" s="2224"/>
      <c r="P24" s="12"/>
      <c r="Q24" s="12"/>
      <c r="R24" s="18"/>
      <c r="S24" s="12"/>
      <c r="T24" s="12"/>
      <c r="U24" s="12"/>
      <c r="V24" s="12"/>
      <c r="W24" s="12"/>
      <c r="X24" s="12"/>
      <c r="Y24" s="12"/>
    </row>
    <row r="25" spans="1:25" ht="17.5">
      <c r="A25" s="90">
        <f>+A24+1</f>
        <v>24</v>
      </c>
      <c r="B25" s="45"/>
      <c r="C25" s="173" t="s">
        <v>981</v>
      </c>
      <c r="D25" s="45"/>
      <c r="E25" s="173">
        <f>53568-23656</f>
        <v>29912</v>
      </c>
      <c r="F25" s="37"/>
      <c r="G25" s="173"/>
      <c r="H25" s="173"/>
      <c r="I25" s="173">
        <f>+E25</f>
        <v>29912</v>
      </c>
      <c r="J25" s="173"/>
      <c r="K25" s="173"/>
      <c r="L25" s="173"/>
      <c r="M25" s="173"/>
      <c r="O25" s="2224"/>
      <c r="P25" s="12"/>
      <c r="Q25" s="12"/>
      <c r="R25" s="18"/>
      <c r="S25" s="12"/>
      <c r="T25" s="12"/>
      <c r="U25" s="12"/>
      <c r="V25" s="12"/>
      <c r="W25" s="12"/>
      <c r="X25" s="12"/>
      <c r="Y25" s="12"/>
    </row>
    <row r="26" spans="1:25" ht="17.5">
      <c r="A26" s="90">
        <f>+A25+1</f>
        <v>25</v>
      </c>
      <c r="B26" s="45"/>
      <c r="C26" s="173" t="s">
        <v>982</v>
      </c>
      <c r="D26" s="45"/>
      <c r="E26" s="173">
        <f>188779-88202+1</f>
        <v>100578</v>
      </c>
      <c r="F26" s="37"/>
      <c r="G26" s="173"/>
      <c r="H26" s="173"/>
      <c r="I26" s="173">
        <f>+E26</f>
        <v>100578</v>
      </c>
      <c r="J26" s="173"/>
      <c r="K26" s="173"/>
      <c r="L26" s="173"/>
      <c r="M26" s="173"/>
      <c r="O26" s="2224"/>
      <c r="P26" s="12"/>
      <c r="Q26" s="12"/>
      <c r="R26" s="18"/>
      <c r="S26" s="12"/>
      <c r="T26" s="12"/>
      <c r="U26" s="12"/>
      <c r="V26" s="12"/>
      <c r="W26" s="12"/>
      <c r="X26" s="12"/>
      <c r="Y26" s="12"/>
    </row>
    <row r="27" spans="1:25" ht="17.5">
      <c r="A27" s="90" t="s">
        <v>254</v>
      </c>
      <c r="B27" s="45"/>
      <c r="C27" s="37"/>
      <c r="D27" s="45"/>
      <c r="E27" s="37"/>
      <c r="F27" s="37"/>
      <c r="G27" s="37"/>
      <c r="H27" s="37"/>
      <c r="I27" s="37"/>
      <c r="J27" s="37"/>
      <c r="K27" s="37"/>
      <c r="L27" s="37"/>
      <c r="M27" s="37"/>
      <c r="O27" s="2226"/>
      <c r="P27" s="18"/>
      <c r="Q27" s="18"/>
      <c r="R27" s="18"/>
      <c r="S27" s="18"/>
      <c r="T27" s="18"/>
      <c r="U27" s="12"/>
      <c r="V27" s="12"/>
      <c r="W27" s="12"/>
      <c r="X27" s="12"/>
      <c r="Y27" s="12"/>
    </row>
    <row r="28" spans="1:25" ht="17.5">
      <c r="A28" s="90">
        <f>26+1</f>
        <v>27</v>
      </c>
      <c r="B28" s="45"/>
      <c r="C28" s="101" t="s">
        <v>62</v>
      </c>
      <c r="D28" s="45"/>
      <c r="E28" s="37"/>
      <c r="F28" s="37"/>
      <c r="G28" s="37"/>
      <c r="H28" s="37"/>
      <c r="I28" s="37"/>
      <c r="J28" s="37"/>
      <c r="K28" s="37"/>
      <c r="L28" s="37"/>
      <c r="M28" s="37"/>
      <c r="O28" s="2226"/>
      <c r="P28" s="18"/>
      <c r="Q28" s="2227"/>
      <c r="R28" s="2226"/>
      <c r="S28" s="18"/>
      <c r="T28" s="18"/>
      <c r="U28" s="12"/>
      <c r="V28" s="12"/>
      <c r="W28" s="12"/>
      <c r="X28" s="12"/>
      <c r="Y28" s="12"/>
    </row>
    <row r="29" spans="1:25" ht="17.5">
      <c r="A29" s="90">
        <f>A28+1</f>
        <v>28</v>
      </c>
      <c r="B29" s="45"/>
      <c r="C29" s="125"/>
      <c r="D29" s="45"/>
      <c r="E29" s="173"/>
      <c r="F29" s="37"/>
      <c r="G29" s="173"/>
      <c r="H29" s="173"/>
      <c r="I29" s="173"/>
      <c r="J29" s="173"/>
      <c r="K29" s="173"/>
      <c r="L29" s="173"/>
      <c r="M29" s="173">
        <f>+E29</f>
        <v>0</v>
      </c>
      <c r="O29" s="2226"/>
      <c r="P29" s="18"/>
      <c r="Q29" s="2227"/>
      <c r="R29" s="2226"/>
      <c r="S29" s="18"/>
      <c r="T29" s="18"/>
      <c r="U29" s="12"/>
      <c r="V29" s="12"/>
      <c r="W29" s="12"/>
      <c r="X29" s="12"/>
      <c r="Y29" s="12"/>
    </row>
    <row r="30" spans="1:25" ht="17.5">
      <c r="A30" s="90">
        <f>A29+1</f>
        <v>29</v>
      </c>
      <c r="B30" s="45"/>
      <c r="C30" s="125"/>
      <c r="D30" s="45"/>
      <c r="E30" s="173"/>
      <c r="F30" s="37"/>
      <c r="G30" s="173"/>
      <c r="H30" s="173"/>
      <c r="I30" s="173"/>
      <c r="J30" s="173"/>
      <c r="K30" s="173"/>
      <c r="L30" s="173"/>
      <c r="M30" s="173"/>
      <c r="O30" s="2226"/>
      <c r="P30" s="18"/>
      <c r="Q30" s="18"/>
      <c r="R30" s="18"/>
      <c r="S30" s="18"/>
      <c r="T30" s="18"/>
      <c r="U30" s="12"/>
      <c r="V30" s="12"/>
      <c r="W30" s="12"/>
      <c r="X30" s="12"/>
      <c r="Y30" s="12"/>
    </row>
    <row r="31" spans="1:25" ht="17.5">
      <c r="A31" s="90"/>
      <c r="B31" s="45"/>
      <c r="C31" s="37"/>
      <c r="D31" s="45"/>
      <c r="E31" s="37"/>
      <c r="F31" s="37"/>
      <c r="G31" s="37"/>
      <c r="H31" s="37"/>
      <c r="I31" s="37"/>
      <c r="J31" s="37"/>
      <c r="K31" s="37"/>
      <c r="L31" s="37"/>
      <c r="M31" s="37"/>
      <c r="O31" s="2226"/>
      <c r="P31" s="18"/>
      <c r="Q31" s="18"/>
      <c r="R31" s="2228"/>
      <c r="S31" s="18"/>
      <c r="T31" s="18"/>
      <c r="U31" s="12"/>
      <c r="V31" s="12"/>
      <c r="W31" s="12"/>
      <c r="X31" s="12"/>
      <c r="Y31" s="12"/>
    </row>
    <row r="32" spans="1:25" ht="17.5">
      <c r="A32" s="67">
        <f>30+1</f>
        <v>31</v>
      </c>
      <c r="B32" s="68"/>
      <c r="C32" s="101" t="s">
        <v>394</v>
      </c>
      <c r="D32" s="69"/>
      <c r="E32" s="2235"/>
      <c r="F32" s="2235"/>
      <c r="G32" s="2235"/>
      <c r="H32" s="2235"/>
      <c r="I32" s="2235"/>
      <c r="J32" s="2235"/>
      <c r="K32" s="2235"/>
      <c r="L32" s="2235"/>
      <c r="M32" s="2235"/>
      <c r="O32" s="2226"/>
      <c r="T32" s="2221"/>
    </row>
    <row r="33" spans="1:20" ht="17.5">
      <c r="A33" s="67">
        <f t="shared" ref="A33:A42" si="0">A32+1</f>
        <v>32</v>
      </c>
      <c r="B33" s="68"/>
      <c r="C33" s="201" t="s">
        <v>983</v>
      </c>
      <c r="D33" s="45"/>
      <c r="E33" s="2243">
        <v>8853</v>
      </c>
      <c r="F33" s="2244"/>
      <c r="G33" s="2243"/>
      <c r="H33" s="2243"/>
      <c r="I33" s="2243"/>
      <c r="J33" s="2243"/>
      <c r="K33" s="2243"/>
      <c r="L33" s="2243"/>
      <c r="M33" s="2243">
        <f>+E33</f>
        <v>8853</v>
      </c>
      <c r="O33" s="2226"/>
      <c r="P33" s="2221"/>
      <c r="Q33" s="2229"/>
      <c r="R33" s="2225"/>
      <c r="S33" s="2221"/>
      <c r="T33" s="2221"/>
    </row>
    <row r="34" spans="1:20" ht="17.5">
      <c r="A34" s="67">
        <f t="shared" si="0"/>
        <v>33</v>
      </c>
      <c r="B34" s="68"/>
      <c r="C34" s="201" t="s">
        <v>987</v>
      </c>
      <c r="D34" s="45"/>
      <c r="E34" s="2243">
        <v>20000</v>
      </c>
      <c r="F34" s="2244"/>
      <c r="G34" s="2243"/>
      <c r="H34" s="2243"/>
      <c r="I34" s="2243"/>
      <c r="J34" s="2243"/>
      <c r="K34" s="2243">
        <f>+E34</f>
        <v>20000</v>
      </c>
      <c r="L34" s="2243"/>
      <c r="M34" s="2243"/>
      <c r="O34" s="2226"/>
      <c r="P34" s="2221"/>
      <c r="Q34" s="2229"/>
      <c r="R34" s="2230"/>
      <c r="S34" s="2221"/>
      <c r="T34" s="2221"/>
    </row>
    <row r="35" spans="1:20" ht="17.5">
      <c r="A35" s="67">
        <f t="shared" si="0"/>
        <v>34</v>
      </c>
      <c r="B35" s="68"/>
      <c r="C35" s="201" t="s">
        <v>1007</v>
      </c>
      <c r="D35" s="45"/>
      <c r="E35" s="2243">
        <f>1451+0</f>
        <v>1451</v>
      </c>
      <c r="F35" s="2244"/>
      <c r="G35" s="2243"/>
      <c r="H35" s="2243"/>
      <c r="I35" s="2243"/>
      <c r="J35" s="2243"/>
      <c r="K35" s="2243"/>
      <c r="L35" s="2243"/>
      <c r="M35" s="2243">
        <f>+E35</f>
        <v>1451</v>
      </c>
      <c r="O35" s="2226"/>
      <c r="P35" s="2221"/>
      <c r="Q35" s="2221"/>
      <c r="R35" s="2221"/>
      <c r="S35" s="2221"/>
      <c r="T35" s="2221"/>
    </row>
    <row r="36" spans="1:20" ht="17.5">
      <c r="A36" s="67">
        <f t="shared" si="0"/>
        <v>35</v>
      </c>
      <c r="B36" s="68"/>
      <c r="C36" s="201" t="s">
        <v>1892</v>
      </c>
      <c r="D36" s="45"/>
      <c r="E36" s="2243">
        <v>7627210</v>
      </c>
      <c r="F36" s="2244"/>
      <c r="G36" s="2243"/>
      <c r="H36" s="2243"/>
      <c r="I36" s="2243"/>
      <c r="J36" s="2243"/>
      <c r="K36" s="2243"/>
      <c r="L36" s="2243"/>
      <c r="M36" s="2243">
        <f>+E36</f>
        <v>7627210</v>
      </c>
      <c r="O36" s="2226"/>
      <c r="P36" s="2221"/>
      <c r="Q36" s="2229"/>
      <c r="R36" s="2225"/>
      <c r="S36" s="2221"/>
      <c r="T36" s="2221"/>
    </row>
    <row r="37" spans="1:20" ht="17.5">
      <c r="A37" s="67">
        <f t="shared" si="0"/>
        <v>36</v>
      </c>
      <c r="B37" s="68"/>
      <c r="C37" s="201" t="s">
        <v>1008</v>
      </c>
      <c r="D37" s="45"/>
      <c r="E37" s="2243">
        <v>0</v>
      </c>
      <c r="F37" s="2244"/>
      <c r="G37" s="2243">
        <f>+E37</f>
        <v>0</v>
      </c>
      <c r="H37" s="2243"/>
      <c r="I37" s="2243"/>
      <c r="J37" s="2243"/>
      <c r="K37" s="2243"/>
      <c r="L37" s="2243"/>
      <c r="M37" s="2243"/>
      <c r="O37" s="2226"/>
      <c r="P37" s="2221"/>
      <c r="Q37" s="2229"/>
      <c r="R37" s="2225"/>
      <c r="S37" s="2221"/>
      <c r="T37" s="2221"/>
    </row>
    <row r="38" spans="1:20" ht="17.5">
      <c r="A38" s="67">
        <f t="shared" si="0"/>
        <v>37</v>
      </c>
      <c r="B38" s="68"/>
      <c r="C38" s="201" t="s">
        <v>1009</v>
      </c>
      <c r="D38" s="45"/>
      <c r="E38" s="2243">
        <v>0</v>
      </c>
      <c r="F38" s="2244"/>
      <c r="G38" s="2243"/>
      <c r="H38" s="2243"/>
      <c r="I38" s="2243"/>
      <c r="J38" s="2243"/>
      <c r="K38" s="2243">
        <f>+E38</f>
        <v>0</v>
      </c>
      <c r="L38" s="2243"/>
      <c r="M38" s="2243"/>
      <c r="O38" s="2226"/>
      <c r="P38" s="2221"/>
      <c r="Q38" s="2221"/>
      <c r="R38" s="2230"/>
      <c r="S38" s="2221"/>
      <c r="T38" s="2221"/>
    </row>
    <row r="39" spans="1:20" ht="17.5">
      <c r="A39" s="67">
        <f t="shared" si="0"/>
        <v>38</v>
      </c>
      <c r="B39" s="68"/>
      <c r="C39" s="201" t="s">
        <v>1010</v>
      </c>
      <c r="D39" s="45"/>
      <c r="E39" s="2243">
        <v>-10</v>
      </c>
      <c r="F39" s="2244"/>
      <c r="G39" s="2243"/>
      <c r="H39" s="2243"/>
      <c r="I39" s="2243"/>
      <c r="J39" s="2243"/>
      <c r="K39" s="2243"/>
      <c r="L39" s="2243"/>
      <c r="M39" s="2243">
        <f>+E39</f>
        <v>-10</v>
      </c>
      <c r="O39" s="2226"/>
      <c r="P39" s="2221"/>
      <c r="Q39" s="2229"/>
      <c r="R39" s="2225"/>
      <c r="S39" s="2221"/>
      <c r="T39" s="2225"/>
    </row>
    <row r="40" spans="1:20" ht="17.5">
      <c r="A40" s="67">
        <f t="shared" si="0"/>
        <v>39</v>
      </c>
      <c r="B40" s="68"/>
      <c r="C40" s="201" t="s">
        <v>1893</v>
      </c>
      <c r="D40" s="45"/>
      <c r="E40" s="2243">
        <v>0</v>
      </c>
      <c r="F40" s="2244"/>
      <c r="G40" s="2243"/>
      <c r="H40" s="2243"/>
      <c r="I40" s="2243"/>
      <c r="J40" s="2243"/>
      <c r="K40" s="2243">
        <f>+E40</f>
        <v>0</v>
      </c>
      <c r="L40" s="2243"/>
      <c r="M40" s="2243"/>
      <c r="O40" s="2226"/>
      <c r="P40" s="2221"/>
      <c r="Q40" s="2229"/>
      <c r="R40" s="2230"/>
      <c r="S40" s="2221"/>
      <c r="T40" s="2225"/>
    </row>
    <row r="41" spans="1:20" ht="17.5">
      <c r="A41" s="67">
        <f t="shared" si="0"/>
        <v>40</v>
      </c>
      <c r="B41" s="45"/>
      <c r="C41" s="201" t="s">
        <v>1011</v>
      </c>
      <c r="D41" s="45"/>
      <c r="E41" s="2243">
        <v>0</v>
      </c>
      <c r="F41" s="2244"/>
      <c r="G41" s="2243">
        <f>+E41</f>
        <v>0</v>
      </c>
      <c r="H41" s="2243"/>
      <c r="I41" s="2243"/>
      <c r="J41" s="2243"/>
      <c r="K41" s="2243"/>
      <c r="L41" s="2243"/>
      <c r="M41" s="2243"/>
      <c r="O41" s="2226"/>
      <c r="T41" s="2225"/>
    </row>
    <row r="42" spans="1:20" ht="17.5">
      <c r="A42" s="67">
        <f t="shared" si="0"/>
        <v>41</v>
      </c>
      <c r="B42" s="45"/>
      <c r="C42" s="201" t="s">
        <v>1012</v>
      </c>
      <c r="D42" s="45"/>
      <c r="E42" s="2243">
        <v>0</v>
      </c>
      <c r="F42" s="2244"/>
      <c r="G42" s="2243"/>
      <c r="H42" s="2243"/>
      <c r="I42" s="2243"/>
      <c r="J42" s="2243"/>
      <c r="K42" s="2243">
        <f>+E42</f>
        <v>0</v>
      </c>
      <c r="L42" s="2243"/>
      <c r="M42" s="2243"/>
      <c r="O42" s="39"/>
      <c r="T42" s="2222"/>
    </row>
    <row r="43" spans="1:20" ht="17.5">
      <c r="A43" s="90">
        <f>A42+1</f>
        <v>42</v>
      </c>
      <c r="B43" s="45"/>
      <c r="C43" s="201" t="s">
        <v>1013</v>
      </c>
      <c r="D43" s="45"/>
      <c r="E43" s="2243">
        <v>0</v>
      </c>
      <c r="F43" s="2244"/>
      <c r="G43" s="2243"/>
      <c r="H43" s="2243"/>
      <c r="I43" s="2243"/>
      <c r="J43" s="2243"/>
      <c r="K43" s="2243">
        <f>+E43</f>
        <v>0</v>
      </c>
      <c r="L43" s="2243"/>
      <c r="M43" s="2243"/>
      <c r="O43" s="39"/>
      <c r="P43" s="2221"/>
      <c r="Q43" s="2221"/>
      <c r="R43" s="2221"/>
      <c r="S43" s="2221"/>
      <c r="T43" s="2221"/>
    </row>
    <row r="44" spans="1:20" ht="17.5">
      <c r="A44" s="90">
        <f>A43+1</f>
        <v>43</v>
      </c>
      <c r="B44" s="45"/>
      <c r="C44" s="201" t="s">
        <v>1014</v>
      </c>
      <c r="D44" s="45"/>
      <c r="E44" s="2243">
        <v>0</v>
      </c>
      <c r="F44" s="2244"/>
      <c r="G44" s="2243"/>
      <c r="H44" s="2243"/>
      <c r="I44" s="2243"/>
      <c r="J44" s="2243"/>
      <c r="K44" s="2243">
        <f>+E44</f>
        <v>0</v>
      </c>
      <c r="L44" s="2243"/>
      <c r="M44" s="2243"/>
      <c r="O44" s="2220"/>
      <c r="Q44" s="2090"/>
    </row>
    <row r="45" spans="1:20" ht="16.5">
      <c r="A45" s="12"/>
      <c r="B45" s="12"/>
      <c r="C45" s="12"/>
      <c r="D45" s="12"/>
      <c r="E45" s="12"/>
      <c r="F45" s="37"/>
      <c r="H45" s="104"/>
      <c r="I45" s="105"/>
      <c r="J45" s="105"/>
      <c r="K45" s="103"/>
      <c r="L45" s="39"/>
      <c r="M45" s="39"/>
    </row>
    <row r="46" spans="1:20" ht="17.25" customHeight="1" thickBot="1">
      <c r="A46" s="67">
        <f>44+1</f>
        <v>45</v>
      </c>
      <c r="B46" s="12"/>
      <c r="C46" s="37" t="s">
        <v>393</v>
      </c>
      <c r="D46" s="12"/>
      <c r="E46" s="59">
        <f>SUM(E16:E44)</f>
        <v>77414517</v>
      </c>
      <c r="F46" s="37"/>
      <c r="G46" s="59">
        <f>SUM(G16:G44)</f>
        <v>64417857</v>
      </c>
      <c r="H46" s="104"/>
      <c r="I46" s="59">
        <f>SUM(I16:I44)</f>
        <v>5339152</v>
      </c>
      <c r="J46" s="105"/>
      <c r="K46" s="59">
        <f>SUM(K16:K44)</f>
        <v>20000</v>
      </c>
      <c r="L46" s="39"/>
      <c r="M46" s="59">
        <f>SUM(M16:M44)</f>
        <v>7637508</v>
      </c>
    </row>
    <row r="47" spans="1:20" ht="15.75" customHeight="1" thickTop="1">
      <c r="A47" s="12"/>
      <c r="B47" s="12"/>
      <c r="C47" s="106" t="s">
        <v>140</v>
      </c>
      <c r="D47" s="83"/>
      <c r="E47" s="460">
        <v>77414517</v>
      </c>
      <c r="F47"/>
      <c r="G47" s="107"/>
      <c r="H47" s="107"/>
      <c r="J47" s="117"/>
      <c r="K47" s="118"/>
      <c r="L47" s="118"/>
      <c r="M47" s="108" t="str">
        <f>IF(SUM(G46:M46)=E46,"","Error - allocations don’t match total")</f>
        <v/>
      </c>
    </row>
    <row r="48" spans="1:20">
      <c r="E48" s="466">
        <f>E47-E46</f>
        <v>0</v>
      </c>
      <c r="F48"/>
      <c r="I48"/>
    </row>
    <row r="49" spans="3:9" ht="13">
      <c r="C49" s="70" t="str">
        <f>"NOTE:  As a check, the difference between the total from Ln "&amp;A46&amp;" above and the total on FF1 p.263 line 41(i)"</f>
        <v>NOTE:  As a check, the difference between the total from Ln 45 above and the total on FF1 p.263 line 41(i)</v>
      </c>
    </row>
    <row r="50" spans="3:9" ht="13">
      <c r="C50" s="70" t="s">
        <v>117</v>
      </c>
    </row>
    <row r="52" spans="3:9">
      <c r="I52" s="110"/>
    </row>
    <row r="180" spans="7:7" ht="13" thickBot="1"/>
    <row r="181" spans="7:7" ht="17" thickBot="1">
      <c r="G181" s="38"/>
    </row>
  </sheetData>
  <mergeCells count="6">
    <mergeCell ref="A7:M7"/>
    <mergeCell ref="A6:M6"/>
    <mergeCell ref="A2:M2"/>
    <mergeCell ref="A3:M3"/>
    <mergeCell ref="A4:M4"/>
    <mergeCell ref="A5:M5"/>
  </mergeCells>
  <phoneticPr fontId="63" type="noConversion"/>
  <printOptions horizontalCentered="1"/>
  <pageMargins left="0.75" right="0.75" top="1" bottom="0.25" header="0.65" footer="0.5"/>
  <pageSetup scale="27" orientation="portrait" horizontalDpi="1200" verticalDpi="1200" r:id="rId1"/>
  <headerFooter alignWithMargins="0">
    <oddHeader xml:space="preserve">&amp;R&amp;12AEP - SPP Formula Rate
TCOS - WS L
Page: &amp;P of &amp;N&amp;16
</oddHeader>
  </headerFooter>
  <colBreaks count="1" manualBreakCount="1">
    <brk id="14"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147"/>
  <sheetViews>
    <sheetView topLeftCell="A26" zoomScale="80" zoomScaleNormal="80" zoomScaleSheetLayoutView="80" zoomScalePageLayoutView="85" workbookViewId="0">
      <selection activeCell="E51" sqref="E51"/>
    </sheetView>
  </sheetViews>
  <sheetFormatPr defaultColWidth="11.453125" defaultRowHeight="13"/>
  <cols>
    <col min="1" max="1" width="10.453125" style="247" customWidth="1"/>
    <col min="2" max="2" width="52.453125" style="214" customWidth="1"/>
    <col min="3" max="7" width="20.453125" style="214" customWidth="1"/>
    <col min="8" max="8" width="23" style="214" customWidth="1"/>
    <col min="9" max="11" width="20.453125" style="214" customWidth="1"/>
    <col min="12" max="12" width="20" style="214" customWidth="1"/>
    <col min="13" max="14" width="15.1796875" style="214" customWidth="1"/>
    <col min="15" max="256" width="11.453125" style="214"/>
    <col min="257" max="257" width="10.453125" style="214" customWidth="1"/>
    <col min="258" max="258" width="52.453125" style="214" customWidth="1"/>
    <col min="259" max="263" width="20.453125" style="214" customWidth="1"/>
    <col min="264" max="264" width="23" style="214" customWidth="1"/>
    <col min="265" max="267" width="20.453125" style="214" customWidth="1"/>
    <col min="268" max="268" width="20" style="214" customWidth="1"/>
    <col min="269" max="270" width="15.1796875" style="214" customWidth="1"/>
    <col min="271" max="512" width="11.453125" style="214"/>
    <col min="513" max="513" width="10.453125" style="214" customWidth="1"/>
    <col min="514" max="514" width="52.453125" style="214" customWidth="1"/>
    <col min="515" max="519" width="20.453125" style="214" customWidth="1"/>
    <col min="520" max="520" width="23" style="214" customWidth="1"/>
    <col min="521" max="523" width="20.453125" style="214" customWidth="1"/>
    <col min="524" max="524" width="20" style="214" customWidth="1"/>
    <col min="525" max="526" width="15.1796875" style="214" customWidth="1"/>
    <col min="527" max="768" width="11.453125" style="214"/>
    <col min="769" max="769" width="10.453125" style="214" customWidth="1"/>
    <col min="770" max="770" width="52.453125" style="214" customWidth="1"/>
    <col min="771" max="775" width="20.453125" style="214" customWidth="1"/>
    <col min="776" max="776" width="23" style="214" customWidth="1"/>
    <col min="777" max="779" width="20.453125" style="214" customWidth="1"/>
    <col min="780" max="780" width="20" style="214" customWidth="1"/>
    <col min="781" max="782" width="15.1796875" style="214" customWidth="1"/>
    <col min="783" max="1024" width="11.453125" style="214"/>
    <col min="1025" max="1025" width="10.453125" style="214" customWidth="1"/>
    <col min="1026" max="1026" width="52.453125" style="214" customWidth="1"/>
    <col min="1027" max="1031" width="20.453125" style="214" customWidth="1"/>
    <col min="1032" max="1032" width="23" style="214" customWidth="1"/>
    <col min="1033" max="1035" width="20.453125" style="214" customWidth="1"/>
    <col min="1036" max="1036" width="20" style="214" customWidth="1"/>
    <col min="1037" max="1038" width="15.1796875" style="214" customWidth="1"/>
    <col min="1039" max="1280" width="11.453125" style="214"/>
    <col min="1281" max="1281" width="10.453125" style="214" customWidth="1"/>
    <col min="1282" max="1282" width="52.453125" style="214" customWidth="1"/>
    <col min="1283" max="1287" width="20.453125" style="214" customWidth="1"/>
    <col min="1288" max="1288" width="23" style="214" customWidth="1"/>
    <col min="1289" max="1291" width="20.453125" style="214" customWidth="1"/>
    <col min="1292" max="1292" width="20" style="214" customWidth="1"/>
    <col min="1293" max="1294" width="15.1796875" style="214" customWidth="1"/>
    <col min="1295" max="1536" width="11.453125" style="214"/>
    <col min="1537" max="1537" width="10.453125" style="214" customWidth="1"/>
    <col min="1538" max="1538" width="52.453125" style="214" customWidth="1"/>
    <col min="1539" max="1543" width="20.453125" style="214" customWidth="1"/>
    <col min="1544" max="1544" width="23" style="214" customWidth="1"/>
    <col min="1545" max="1547" width="20.453125" style="214" customWidth="1"/>
    <col min="1548" max="1548" width="20" style="214" customWidth="1"/>
    <col min="1549" max="1550" width="15.1796875" style="214" customWidth="1"/>
    <col min="1551" max="1792" width="11.453125" style="214"/>
    <col min="1793" max="1793" width="10.453125" style="214" customWidth="1"/>
    <col min="1794" max="1794" width="52.453125" style="214" customWidth="1"/>
    <col min="1795" max="1799" width="20.453125" style="214" customWidth="1"/>
    <col min="1800" max="1800" width="23" style="214" customWidth="1"/>
    <col min="1801" max="1803" width="20.453125" style="214" customWidth="1"/>
    <col min="1804" max="1804" width="20" style="214" customWidth="1"/>
    <col min="1805" max="1806" width="15.1796875" style="214" customWidth="1"/>
    <col min="1807" max="2048" width="11.453125" style="214"/>
    <col min="2049" max="2049" width="10.453125" style="214" customWidth="1"/>
    <col min="2050" max="2050" width="52.453125" style="214" customWidth="1"/>
    <col min="2051" max="2055" width="20.453125" style="214" customWidth="1"/>
    <col min="2056" max="2056" width="23" style="214" customWidth="1"/>
    <col min="2057" max="2059" width="20.453125" style="214" customWidth="1"/>
    <col min="2060" max="2060" width="20" style="214" customWidth="1"/>
    <col min="2061" max="2062" width="15.1796875" style="214" customWidth="1"/>
    <col min="2063" max="2304" width="11.453125" style="214"/>
    <col min="2305" max="2305" width="10.453125" style="214" customWidth="1"/>
    <col min="2306" max="2306" width="52.453125" style="214" customWidth="1"/>
    <col min="2307" max="2311" width="20.453125" style="214" customWidth="1"/>
    <col min="2312" max="2312" width="23" style="214" customWidth="1"/>
    <col min="2313" max="2315" width="20.453125" style="214" customWidth="1"/>
    <col min="2316" max="2316" width="20" style="214" customWidth="1"/>
    <col min="2317" max="2318" width="15.1796875" style="214" customWidth="1"/>
    <col min="2319" max="2560" width="11.453125" style="214"/>
    <col min="2561" max="2561" width="10.453125" style="214" customWidth="1"/>
    <col min="2562" max="2562" width="52.453125" style="214" customWidth="1"/>
    <col min="2563" max="2567" width="20.453125" style="214" customWidth="1"/>
    <col min="2568" max="2568" width="23" style="214" customWidth="1"/>
    <col min="2569" max="2571" width="20.453125" style="214" customWidth="1"/>
    <col min="2572" max="2572" width="20" style="214" customWidth="1"/>
    <col min="2573" max="2574" width="15.1796875" style="214" customWidth="1"/>
    <col min="2575" max="2816" width="11.453125" style="214"/>
    <col min="2817" max="2817" width="10.453125" style="214" customWidth="1"/>
    <col min="2818" max="2818" width="52.453125" style="214" customWidth="1"/>
    <col min="2819" max="2823" width="20.453125" style="214" customWidth="1"/>
    <col min="2824" max="2824" width="23" style="214" customWidth="1"/>
    <col min="2825" max="2827" width="20.453125" style="214" customWidth="1"/>
    <col min="2828" max="2828" width="20" style="214" customWidth="1"/>
    <col min="2829" max="2830" width="15.1796875" style="214" customWidth="1"/>
    <col min="2831" max="3072" width="11.453125" style="214"/>
    <col min="3073" max="3073" width="10.453125" style="214" customWidth="1"/>
    <col min="3074" max="3074" width="52.453125" style="214" customWidth="1"/>
    <col min="3075" max="3079" width="20.453125" style="214" customWidth="1"/>
    <col min="3080" max="3080" width="23" style="214" customWidth="1"/>
    <col min="3081" max="3083" width="20.453125" style="214" customWidth="1"/>
    <col min="3084" max="3084" width="20" style="214" customWidth="1"/>
    <col min="3085" max="3086" width="15.1796875" style="214" customWidth="1"/>
    <col min="3087" max="3328" width="11.453125" style="214"/>
    <col min="3329" max="3329" width="10.453125" style="214" customWidth="1"/>
    <col min="3330" max="3330" width="52.453125" style="214" customWidth="1"/>
    <col min="3331" max="3335" width="20.453125" style="214" customWidth="1"/>
    <col min="3336" max="3336" width="23" style="214" customWidth="1"/>
    <col min="3337" max="3339" width="20.453125" style="214" customWidth="1"/>
    <col min="3340" max="3340" width="20" style="214" customWidth="1"/>
    <col min="3341" max="3342" width="15.1796875" style="214" customWidth="1"/>
    <col min="3343" max="3584" width="11.453125" style="214"/>
    <col min="3585" max="3585" width="10.453125" style="214" customWidth="1"/>
    <col min="3586" max="3586" width="52.453125" style="214" customWidth="1"/>
    <col min="3587" max="3591" width="20.453125" style="214" customWidth="1"/>
    <col min="3592" max="3592" width="23" style="214" customWidth="1"/>
    <col min="3593" max="3595" width="20.453125" style="214" customWidth="1"/>
    <col min="3596" max="3596" width="20" style="214" customWidth="1"/>
    <col min="3597" max="3598" width="15.1796875" style="214" customWidth="1"/>
    <col min="3599" max="3840" width="11.453125" style="214"/>
    <col min="3841" max="3841" width="10.453125" style="214" customWidth="1"/>
    <col min="3842" max="3842" width="52.453125" style="214" customWidth="1"/>
    <col min="3843" max="3847" width="20.453125" style="214" customWidth="1"/>
    <col min="3848" max="3848" width="23" style="214" customWidth="1"/>
    <col min="3849" max="3851" width="20.453125" style="214" customWidth="1"/>
    <col min="3852" max="3852" width="20" style="214" customWidth="1"/>
    <col min="3853" max="3854" width="15.1796875" style="214" customWidth="1"/>
    <col min="3855" max="4096" width="11.453125" style="214"/>
    <col min="4097" max="4097" width="10.453125" style="214" customWidth="1"/>
    <col min="4098" max="4098" width="52.453125" style="214" customWidth="1"/>
    <col min="4099" max="4103" width="20.453125" style="214" customWidth="1"/>
    <col min="4104" max="4104" width="23" style="214" customWidth="1"/>
    <col min="4105" max="4107" width="20.453125" style="214" customWidth="1"/>
    <col min="4108" max="4108" width="20" style="214" customWidth="1"/>
    <col min="4109" max="4110" width="15.1796875" style="214" customWidth="1"/>
    <col min="4111" max="4352" width="11.453125" style="214"/>
    <col min="4353" max="4353" width="10.453125" style="214" customWidth="1"/>
    <col min="4354" max="4354" width="52.453125" style="214" customWidth="1"/>
    <col min="4355" max="4359" width="20.453125" style="214" customWidth="1"/>
    <col min="4360" max="4360" width="23" style="214" customWidth="1"/>
    <col min="4361" max="4363" width="20.453125" style="214" customWidth="1"/>
    <col min="4364" max="4364" width="20" style="214" customWidth="1"/>
    <col min="4365" max="4366" width="15.1796875" style="214" customWidth="1"/>
    <col min="4367" max="4608" width="11.453125" style="214"/>
    <col min="4609" max="4609" width="10.453125" style="214" customWidth="1"/>
    <col min="4610" max="4610" width="52.453125" style="214" customWidth="1"/>
    <col min="4611" max="4615" width="20.453125" style="214" customWidth="1"/>
    <col min="4616" max="4616" width="23" style="214" customWidth="1"/>
    <col min="4617" max="4619" width="20.453125" style="214" customWidth="1"/>
    <col min="4620" max="4620" width="20" style="214" customWidth="1"/>
    <col min="4621" max="4622" width="15.1796875" style="214" customWidth="1"/>
    <col min="4623" max="4864" width="11.453125" style="214"/>
    <col min="4865" max="4865" width="10.453125" style="214" customWidth="1"/>
    <col min="4866" max="4866" width="52.453125" style="214" customWidth="1"/>
    <col min="4867" max="4871" width="20.453125" style="214" customWidth="1"/>
    <col min="4872" max="4872" width="23" style="214" customWidth="1"/>
    <col min="4873" max="4875" width="20.453125" style="214" customWidth="1"/>
    <col min="4876" max="4876" width="20" style="214" customWidth="1"/>
    <col min="4877" max="4878" width="15.1796875" style="214" customWidth="1"/>
    <col min="4879" max="5120" width="11.453125" style="214"/>
    <col min="5121" max="5121" width="10.453125" style="214" customWidth="1"/>
    <col min="5122" max="5122" width="52.453125" style="214" customWidth="1"/>
    <col min="5123" max="5127" width="20.453125" style="214" customWidth="1"/>
    <col min="5128" max="5128" width="23" style="214" customWidth="1"/>
    <col min="5129" max="5131" width="20.453125" style="214" customWidth="1"/>
    <col min="5132" max="5132" width="20" style="214" customWidth="1"/>
    <col min="5133" max="5134" width="15.1796875" style="214" customWidth="1"/>
    <col min="5135" max="5376" width="11.453125" style="214"/>
    <col min="5377" max="5377" width="10.453125" style="214" customWidth="1"/>
    <col min="5378" max="5378" width="52.453125" style="214" customWidth="1"/>
    <col min="5379" max="5383" width="20.453125" style="214" customWidth="1"/>
    <col min="5384" max="5384" width="23" style="214" customWidth="1"/>
    <col min="5385" max="5387" width="20.453125" style="214" customWidth="1"/>
    <col min="5388" max="5388" width="20" style="214" customWidth="1"/>
    <col min="5389" max="5390" width="15.1796875" style="214" customWidth="1"/>
    <col min="5391" max="5632" width="11.453125" style="214"/>
    <col min="5633" max="5633" width="10.453125" style="214" customWidth="1"/>
    <col min="5634" max="5634" width="52.453125" style="214" customWidth="1"/>
    <col min="5635" max="5639" width="20.453125" style="214" customWidth="1"/>
    <col min="5640" max="5640" width="23" style="214" customWidth="1"/>
    <col min="5641" max="5643" width="20.453125" style="214" customWidth="1"/>
    <col min="5644" max="5644" width="20" style="214" customWidth="1"/>
    <col min="5645" max="5646" width="15.1796875" style="214" customWidth="1"/>
    <col min="5647" max="5888" width="11.453125" style="214"/>
    <col min="5889" max="5889" width="10.453125" style="214" customWidth="1"/>
    <col min="5890" max="5890" width="52.453125" style="214" customWidth="1"/>
    <col min="5891" max="5895" width="20.453125" style="214" customWidth="1"/>
    <col min="5896" max="5896" width="23" style="214" customWidth="1"/>
    <col min="5897" max="5899" width="20.453125" style="214" customWidth="1"/>
    <col min="5900" max="5900" width="20" style="214" customWidth="1"/>
    <col min="5901" max="5902" width="15.1796875" style="214" customWidth="1"/>
    <col min="5903" max="6144" width="11.453125" style="214"/>
    <col min="6145" max="6145" width="10.453125" style="214" customWidth="1"/>
    <col min="6146" max="6146" width="52.453125" style="214" customWidth="1"/>
    <col min="6147" max="6151" width="20.453125" style="214" customWidth="1"/>
    <col min="6152" max="6152" width="23" style="214" customWidth="1"/>
    <col min="6153" max="6155" width="20.453125" style="214" customWidth="1"/>
    <col min="6156" max="6156" width="20" style="214" customWidth="1"/>
    <col min="6157" max="6158" width="15.1796875" style="214" customWidth="1"/>
    <col min="6159" max="6400" width="11.453125" style="214"/>
    <col min="6401" max="6401" width="10.453125" style="214" customWidth="1"/>
    <col min="6402" max="6402" width="52.453125" style="214" customWidth="1"/>
    <col min="6403" max="6407" width="20.453125" style="214" customWidth="1"/>
    <col min="6408" max="6408" width="23" style="214" customWidth="1"/>
    <col min="6409" max="6411" width="20.453125" style="214" customWidth="1"/>
    <col min="6412" max="6412" width="20" style="214" customWidth="1"/>
    <col min="6413" max="6414" width="15.1796875" style="214" customWidth="1"/>
    <col min="6415" max="6656" width="11.453125" style="214"/>
    <col min="6657" max="6657" width="10.453125" style="214" customWidth="1"/>
    <col min="6658" max="6658" width="52.453125" style="214" customWidth="1"/>
    <col min="6659" max="6663" width="20.453125" style="214" customWidth="1"/>
    <col min="6664" max="6664" width="23" style="214" customWidth="1"/>
    <col min="6665" max="6667" width="20.453125" style="214" customWidth="1"/>
    <col min="6668" max="6668" width="20" style="214" customWidth="1"/>
    <col min="6669" max="6670" width="15.1796875" style="214" customWidth="1"/>
    <col min="6671" max="6912" width="11.453125" style="214"/>
    <col min="6913" max="6913" width="10.453125" style="214" customWidth="1"/>
    <col min="6914" max="6914" width="52.453125" style="214" customWidth="1"/>
    <col min="6915" max="6919" width="20.453125" style="214" customWidth="1"/>
    <col min="6920" max="6920" width="23" style="214" customWidth="1"/>
    <col min="6921" max="6923" width="20.453125" style="214" customWidth="1"/>
    <col min="6924" max="6924" width="20" style="214" customWidth="1"/>
    <col min="6925" max="6926" width="15.1796875" style="214" customWidth="1"/>
    <col min="6927" max="7168" width="11.453125" style="214"/>
    <col min="7169" max="7169" width="10.453125" style="214" customWidth="1"/>
    <col min="7170" max="7170" width="52.453125" style="214" customWidth="1"/>
    <col min="7171" max="7175" width="20.453125" style="214" customWidth="1"/>
    <col min="7176" max="7176" width="23" style="214" customWidth="1"/>
    <col min="7177" max="7179" width="20.453125" style="214" customWidth="1"/>
    <col min="7180" max="7180" width="20" style="214" customWidth="1"/>
    <col min="7181" max="7182" width="15.1796875" style="214" customWidth="1"/>
    <col min="7183" max="7424" width="11.453125" style="214"/>
    <col min="7425" max="7425" width="10.453125" style="214" customWidth="1"/>
    <col min="7426" max="7426" width="52.453125" style="214" customWidth="1"/>
    <col min="7427" max="7431" width="20.453125" style="214" customWidth="1"/>
    <col min="7432" max="7432" width="23" style="214" customWidth="1"/>
    <col min="7433" max="7435" width="20.453125" style="214" customWidth="1"/>
    <col min="7436" max="7436" width="20" style="214" customWidth="1"/>
    <col min="7437" max="7438" width="15.1796875" style="214" customWidth="1"/>
    <col min="7439" max="7680" width="11.453125" style="214"/>
    <col min="7681" max="7681" width="10.453125" style="214" customWidth="1"/>
    <col min="7682" max="7682" width="52.453125" style="214" customWidth="1"/>
    <col min="7683" max="7687" width="20.453125" style="214" customWidth="1"/>
    <col min="7688" max="7688" width="23" style="214" customWidth="1"/>
    <col min="7689" max="7691" width="20.453125" style="214" customWidth="1"/>
    <col min="7692" max="7692" width="20" style="214" customWidth="1"/>
    <col min="7693" max="7694" width="15.1796875" style="214" customWidth="1"/>
    <col min="7695" max="7936" width="11.453125" style="214"/>
    <col min="7937" max="7937" width="10.453125" style="214" customWidth="1"/>
    <col min="7938" max="7938" width="52.453125" style="214" customWidth="1"/>
    <col min="7939" max="7943" width="20.453125" style="214" customWidth="1"/>
    <col min="7944" max="7944" width="23" style="214" customWidth="1"/>
    <col min="7945" max="7947" width="20.453125" style="214" customWidth="1"/>
    <col min="7948" max="7948" width="20" style="214" customWidth="1"/>
    <col min="7949" max="7950" width="15.1796875" style="214" customWidth="1"/>
    <col min="7951" max="8192" width="11.453125" style="214"/>
    <col min="8193" max="8193" width="10.453125" style="214" customWidth="1"/>
    <col min="8194" max="8194" width="52.453125" style="214" customWidth="1"/>
    <col min="8195" max="8199" width="20.453125" style="214" customWidth="1"/>
    <col min="8200" max="8200" width="23" style="214" customWidth="1"/>
    <col min="8201" max="8203" width="20.453125" style="214" customWidth="1"/>
    <col min="8204" max="8204" width="20" style="214" customWidth="1"/>
    <col min="8205" max="8206" width="15.1796875" style="214" customWidth="1"/>
    <col min="8207" max="8448" width="11.453125" style="214"/>
    <col min="8449" max="8449" width="10.453125" style="214" customWidth="1"/>
    <col min="8450" max="8450" width="52.453125" style="214" customWidth="1"/>
    <col min="8451" max="8455" width="20.453125" style="214" customWidth="1"/>
    <col min="8456" max="8456" width="23" style="214" customWidth="1"/>
    <col min="8457" max="8459" width="20.453125" style="214" customWidth="1"/>
    <col min="8460" max="8460" width="20" style="214" customWidth="1"/>
    <col min="8461" max="8462" width="15.1796875" style="214" customWidth="1"/>
    <col min="8463" max="8704" width="11.453125" style="214"/>
    <col min="8705" max="8705" width="10.453125" style="214" customWidth="1"/>
    <col min="8706" max="8706" width="52.453125" style="214" customWidth="1"/>
    <col min="8707" max="8711" width="20.453125" style="214" customWidth="1"/>
    <col min="8712" max="8712" width="23" style="214" customWidth="1"/>
    <col min="8713" max="8715" width="20.453125" style="214" customWidth="1"/>
    <col min="8716" max="8716" width="20" style="214" customWidth="1"/>
    <col min="8717" max="8718" width="15.1796875" style="214" customWidth="1"/>
    <col min="8719" max="8960" width="11.453125" style="214"/>
    <col min="8961" max="8961" width="10.453125" style="214" customWidth="1"/>
    <col min="8962" max="8962" width="52.453125" style="214" customWidth="1"/>
    <col min="8963" max="8967" width="20.453125" style="214" customWidth="1"/>
    <col min="8968" max="8968" width="23" style="214" customWidth="1"/>
    <col min="8969" max="8971" width="20.453125" style="214" customWidth="1"/>
    <col min="8972" max="8972" width="20" style="214" customWidth="1"/>
    <col min="8973" max="8974" width="15.1796875" style="214" customWidth="1"/>
    <col min="8975" max="9216" width="11.453125" style="214"/>
    <col min="9217" max="9217" width="10.453125" style="214" customWidth="1"/>
    <col min="9218" max="9218" width="52.453125" style="214" customWidth="1"/>
    <col min="9219" max="9223" width="20.453125" style="214" customWidth="1"/>
    <col min="9224" max="9224" width="23" style="214" customWidth="1"/>
    <col min="9225" max="9227" width="20.453125" style="214" customWidth="1"/>
    <col min="9228" max="9228" width="20" style="214" customWidth="1"/>
    <col min="9229" max="9230" width="15.1796875" style="214" customWidth="1"/>
    <col min="9231" max="9472" width="11.453125" style="214"/>
    <col min="9473" max="9473" width="10.453125" style="214" customWidth="1"/>
    <col min="9474" max="9474" width="52.453125" style="214" customWidth="1"/>
    <col min="9475" max="9479" width="20.453125" style="214" customWidth="1"/>
    <col min="9480" max="9480" width="23" style="214" customWidth="1"/>
    <col min="9481" max="9483" width="20.453125" style="214" customWidth="1"/>
    <col min="9484" max="9484" width="20" style="214" customWidth="1"/>
    <col min="9485" max="9486" width="15.1796875" style="214" customWidth="1"/>
    <col min="9487" max="9728" width="11.453125" style="214"/>
    <col min="9729" max="9729" width="10.453125" style="214" customWidth="1"/>
    <col min="9730" max="9730" width="52.453125" style="214" customWidth="1"/>
    <col min="9731" max="9735" width="20.453125" style="214" customWidth="1"/>
    <col min="9736" max="9736" width="23" style="214" customWidth="1"/>
    <col min="9737" max="9739" width="20.453125" style="214" customWidth="1"/>
    <col min="9740" max="9740" width="20" style="214" customWidth="1"/>
    <col min="9741" max="9742" width="15.1796875" style="214" customWidth="1"/>
    <col min="9743" max="9984" width="11.453125" style="214"/>
    <col min="9985" max="9985" width="10.453125" style="214" customWidth="1"/>
    <col min="9986" max="9986" width="52.453125" style="214" customWidth="1"/>
    <col min="9987" max="9991" width="20.453125" style="214" customWidth="1"/>
    <col min="9992" max="9992" width="23" style="214" customWidth="1"/>
    <col min="9993" max="9995" width="20.453125" style="214" customWidth="1"/>
    <col min="9996" max="9996" width="20" style="214" customWidth="1"/>
    <col min="9997" max="9998" width="15.1796875" style="214" customWidth="1"/>
    <col min="9999" max="10240" width="11.453125" style="214"/>
    <col min="10241" max="10241" width="10.453125" style="214" customWidth="1"/>
    <col min="10242" max="10242" width="52.453125" style="214" customWidth="1"/>
    <col min="10243" max="10247" width="20.453125" style="214" customWidth="1"/>
    <col min="10248" max="10248" width="23" style="214" customWidth="1"/>
    <col min="10249" max="10251" width="20.453125" style="214" customWidth="1"/>
    <col min="10252" max="10252" width="20" style="214" customWidth="1"/>
    <col min="10253" max="10254" width="15.1796875" style="214" customWidth="1"/>
    <col min="10255" max="10496" width="11.453125" style="214"/>
    <col min="10497" max="10497" width="10.453125" style="214" customWidth="1"/>
    <col min="10498" max="10498" width="52.453125" style="214" customWidth="1"/>
    <col min="10499" max="10503" width="20.453125" style="214" customWidth="1"/>
    <col min="10504" max="10504" width="23" style="214" customWidth="1"/>
    <col min="10505" max="10507" width="20.453125" style="214" customWidth="1"/>
    <col min="10508" max="10508" width="20" style="214" customWidth="1"/>
    <col min="10509" max="10510" width="15.1796875" style="214" customWidth="1"/>
    <col min="10511" max="10752" width="11.453125" style="214"/>
    <col min="10753" max="10753" width="10.453125" style="214" customWidth="1"/>
    <col min="10754" max="10754" width="52.453125" style="214" customWidth="1"/>
    <col min="10755" max="10759" width="20.453125" style="214" customWidth="1"/>
    <col min="10760" max="10760" width="23" style="214" customWidth="1"/>
    <col min="10761" max="10763" width="20.453125" style="214" customWidth="1"/>
    <col min="10764" max="10764" width="20" style="214" customWidth="1"/>
    <col min="10765" max="10766" width="15.1796875" style="214" customWidth="1"/>
    <col min="10767" max="11008" width="11.453125" style="214"/>
    <col min="11009" max="11009" width="10.453125" style="214" customWidth="1"/>
    <col min="11010" max="11010" width="52.453125" style="214" customWidth="1"/>
    <col min="11011" max="11015" width="20.453125" style="214" customWidth="1"/>
    <col min="11016" max="11016" width="23" style="214" customWidth="1"/>
    <col min="11017" max="11019" width="20.453125" style="214" customWidth="1"/>
    <col min="11020" max="11020" width="20" style="214" customWidth="1"/>
    <col min="11021" max="11022" width="15.1796875" style="214" customWidth="1"/>
    <col min="11023" max="11264" width="11.453125" style="214"/>
    <col min="11265" max="11265" width="10.453125" style="214" customWidth="1"/>
    <col min="11266" max="11266" width="52.453125" style="214" customWidth="1"/>
    <col min="11267" max="11271" width="20.453125" style="214" customWidth="1"/>
    <col min="11272" max="11272" width="23" style="214" customWidth="1"/>
    <col min="11273" max="11275" width="20.453125" style="214" customWidth="1"/>
    <col min="11276" max="11276" width="20" style="214" customWidth="1"/>
    <col min="11277" max="11278" width="15.1796875" style="214" customWidth="1"/>
    <col min="11279" max="11520" width="11.453125" style="214"/>
    <col min="11521" max="11521" width="10.453125" style="214" customWidth="1"/>
    <col min="11522" max="11522" width="52.453125" style="214" customWidth="1"/>
    <col min="11523" max="11527" width="20.453125" style="214" customWidth="1"/>
    <col min="11528" max="11528" width="23" style="214" customWidth="1"/>
    <col min="11529" max="11531" width="20.453125" style="214" customWidth="1"/>
    <col min="11532" max="11532" width="20" style="214" customWidth="1"/>
    <col min="11533" max="11534" width="15.1796875" style="214" customWidth="1"/>
    <col min="11535" max="11776" width="11.453125" style="214"/>
    <col min="11777" max="11777" width="10.453125" style="214" customWidth="1"/>
    <col min="11778" max="11778" width="52.453125" style="214" customWidth="1"/>
    <col min="11779" max="11783" width="20.453125" style="214" customWidth="1"/>
    <col min="11784" max="11784" width="23" style="214" customWidth="1"/>
    <col min="11785" max="11787" width="20.453125" style="214" customWidth="1"/>
    <col min="11788" max="11788" width="20" style="214" customWidth="1"/>
    <col min="11789" max="11790" width="15.1796875" style="214" customWidth="1"/>
    <col min="11791" max="12032" width="11.453125" style="214"/>
    <col min="12033" max="12033" width="10.453125" style="214" customWidth="1"/>
    <col min="12034" max="12034" width="52.453125" style="214" customWidth="1"/>
    <col min="12035" max="12039" width="20.453125" style="214" customWidth="1"/>
    <col min="12040" max="12040" width="23" style="214" customWidth="1"/>
    <col min="12041" max="12043" width="20.453125" style="214" customWidth="1"/>
    <col min="12044" max="12044" width="20" style="214" customWidth="1"/>
    <col min="12045" max="12046" width="15.1796875" style="214" customWidth="1"/>
    <col min="12047" max="12288" width="11.453125" style="214"/>
    <col min="12289" max="12289" width="10.453125" style="214" customWidth="1"/>
    <col min="12290" max="12290" width="52.453125" style="214" customWidth="1"/>
    <col min="12291" max="12295" width="20.453125" style="214" customWidth="1"/>
    <col min="12296" max="12296" width="23" style="214" customWidth="1"/>
    <col min="12297" max="12299" width="20.453125" style="214" customWidth="1"/>
    <col min="12300" max="12300" width="20" style="214" customWidth="1"/>
    <col min="12301" max="12302" width="15.1796875" style="214" customWidth="1"/>
    <col min="12303" max="12544" width="11.453125" style="214"/>
    <col min="12545" max="12545" width="10.453125" style="214" customWidth="1"/>
    <col min="12546" max="12546" width="52.453125" style="214" customWidth="1"/>
    <col min="12547" max="12551" width="20.453125" style="214" customWidth="1"/>
    <col min="12552" max="12552" width="23" style="214" customWidth="1"/>
    <col min="12553" max="12555" width="20.453125" style="214" customWidth="1"/>
    <col min="12556" max="12556" width="20" style="214" customWidth="1"/>
    <col min="12557" max="12558" width="15.1796875" style="214" customWidth="1"/>
    <col min="12559" max="12800" width="11.453125" style="214"/>
    <col min="12801" max="12801" width="10.453125" style="214" customWidth="1"/>
    <col min="12802" max="12802" width="52.453125" style="214" customWidth="1"/>
    <col min="12803" max="12807" width="20.453125" style="214" customWidth="1"/>
    <col min="12808" max="12808" width="23" style="214" customWidth="1"/>
    <col min="12809" max="12811" width="20.453125" style="214" customWidth="1"/>
    <col min="12812" max="12812" width="20" style="214" customWidth="1"/>
    <col min="12813" max="12814" width="15.1796875" style="214" customWidth="1"/>
    <col min="12815" max="13056" width="11.453125" style="214"/>
    <col min="13057" max="13057" width="10.453125" style="214" customWidth="1"/>
    <col min="13058" max="13058" width="52.453125" style="214" customWidth="1"/>
    <col min="13059" max="13063" width="20.453125" style="214" customWidth="1"/>
    <col min="13064" max="13064" width="23" style="214" customWidth="1"/>
    <col min="13065" max="13067" width="20.453125" style="214" customWidth="1"/>
    <col min="13068" max="13068" width="20" style="214" customWidth="1"/>
    <col min="13069" max="13070" width="15.1796875" style="214" customWidth="1"/>
    <col min="13071" max="13312" width="11.453125" style="214"/>
    <col min="13313" max="13313" width="10.453125" style="214" customWidth="1"/>
    <col min="13314" max="13314" width="52.453125" style="214" customWidth="1"/>
    <col min="13315" max="13319" width="20.453125" style="214" customWidth="1"/>
    <col min="13320" max="13320" width="23" style="214" customWidth="1"/>
    <col min="13321" max="13323" width="20.453125" style="214" customWidth="1"/>
    <col min="13324" max="13324" width="20" style="214" customWidth="1"/>
    <col min="13325" max="13326" width="15.1796875" style="214" customWidth="1"/>
    <col min="13327" max="13568" width="11.453125" style="214"/>
    <col min="13569" max="13569" width="10.453125" style="214" customWidth="1"/>
    <col min="13570" max="13570" width="52.453125" style="214" customWidth="1"/>
    <col min="13571" max="13575" width="20.453125" style="214" customWidth="1"/>
    <col min="13576" max="13576" width="23" style="214" customWidth="1"/>
    <col min="13577" max="13579" width="20.453125" style="214" customWidth="1"/>
    <col min="13580" max="13580" width="20" style="214" customWidth="1"/>
    <col min="13581" max="13582" width="15.1796875" style="214" customWidth="1"/>
    <col min="13583" max="13824" width="11.453125" style="214"/>
    <col min="13825" max="13825" width="10.453125" style="214" customWidth="1"/>
    <col min="13826" max="13826" width="52.453125" style="214" customWidth="1"/>
    <col min="13827" max="13831" width="20.453125" style="214" customWidth="1"/>
    <col min="13832" max="13832" width="23" style="214" customWidth="1"/>
    <col min="13833" max="13835" width="20.453125" style="214" customWidth="1"/>
    <col min="13836" max="13836" width="20" style="214" customWidth="1"/>
    <col min="13837" max="13838" width="15.1796875" style="214" customWidth="1"/>
    <col min="13839" max="14080" width="11.453125" style="214"/>
    <col min="14081" max="14081" width="10.453125" style="214" customWidth="1"/>
    <col min="14082" max="14082" width="52.453125" style="214" customWidth="1"/>
    <col min="14083" max="14087" width="20.453125" style="214" customWidth="1"/>
    <col min="14088" max="14088" width="23" style="214" customWidth="1"/>
    <col min="14089" max="14091" width="20.453125" style="214" customWidth="1"/>
    <col min="14092" max="14092" width="20" style="214" customWidth="1"/>
    <col min="14093" max="14094" width="15.1796875" style="214" customWidth="1"/>
    <col min="14095" max="14336" width="11.453125" style="214"/>
    <col min="14337" max="14337" width="10.453125" style="214" customWidth="1"/>
    <col min="14338" max="14338" width="52.453125" style="214" customWidth="1"/>
    <col min="14339" max="14343" width="20.453125" style="214" customWidth="1"/>
    <col min="14344" max="14344" width="23" style="214" customWidth="1"/>
    <col min="14345" max="14347" width="20.453125" style="214" customWidth="1"/>
    <col min="14348" max="14348" width="20" style="214" customWidth="1"/>
    <col min="14349" max="14350" width="15.1796875" style="214" customWidth="1"/>
    <col min="14351" max="14592" width="11.453125" style="214"/>
    <col min="14593" max="14593" width="10.453125" style="214" customWidth="1"/>
    <col min="14594" max="14594" width="52.453125" style="214" customWidth="1"/>
    <col min="14595" max="14599" width="20.453125" style="214" customWidth="1"/>
    <col min="14600" max="14600" width="23" style="214" customWidth="1"/>
    <col min="14601" max="14603" width="20.453125" style="214" customWidth="1"/>
    <col min="14604" max="14604" width="20" style="214" customWidth="1"/>
    <col min="14605" max="14606" width="15.1796875" style="214" customWidth="1"/>
    <col min="14607" max="14848" width="11.453125" style="214"/>
    <col min="14849" max="14849" width="10.453125" style="214" customWidth="1"/>
    <col min="14850" max="14850" width="52.453125" style="214" customWidth="1"/>
    <col min="14851" max="14855" width="20.453125" style="214" customWidth="1"/>
    <col min="14856" max="14856" width="23" style="214" customWidth="1"/>
    <col min="14857" max="14859" width="20.453125" style="214" customWidth="1"/>
    <col min="14860" max="14860" width="20" style="214" customWidth="1"/>
    <col min="14861" max="14862" width="15.1796875" style="214" customWidth="1"/>
    <col min="14863" max="15104" width="11.453125" style="214"/>
    <col min="15105" max="15105" width="10.453125" style="214" customWidth="1"/>
    <col min="15106" max="15106" width="52.453125" style="214" customWidth="1"/>
    <col min="15107" max="15111" width="20.453125" style="214" customWidth="1"/>
    <col min="15112" max="15112" width="23" style="214" customWidth="1"/>
    <col min="15113" max="15115" width="20.453125" style="214" customWidth="1"/>
    <col min="15116" max="15116" width="20" style="214" customWidth="1"/>
    <col min="15117" max="15118" width="15.1796875" style="214" customWidth="1"/>
    <col min="15119" max="15360" width="11.453125" style="214"/>
    <col min="15361" max="15361" width="10.453125" style="214" customWidth="1"/>
    <col min="15362" max="15362" width="52.453125" style="214" customWidth="1"/>
    <col min="15363" max="15367" width="20.453125" style="214" customWidth="1"/>
    <col min="15368" max="15368" width="23" style="214" customWidth="1"/>
    <col min="15369" max="15371" width="20.453125" style="214" customWidth="1"/>
    <col min="15372" max="15372" width="20" style="214" customWidth="1"/>
    <col min="15373" max="15374" width="15.1796875" style="214" customWidth="1"/>
    <col min="15375" max="15616" width="11.453125" style="214"/>
    <col min="15617" max="15617" width="10.453125" style="214" customWidth="1"/>
    <col min="15618" max="15618" width="52.453125" style="214" customWidth="1"/>
    <col min="15619" max="15623" width="20.453125" style="214" customWidth="1"/>
    <col min="15624" max="15624" width="23" style="214" customWidth="1"/>
    <col min="15625" max="15627" width="20.453125" style="214" customWidth="1"/>
    <col min="15628" max="15628" width="20" style="214" customWidth="1"/>
    <col min="15629" max="15630" width="15.1796875" style="214" customWidth="1"/>
    <col min="15631" max="15872" width="11.453125" style="214"/>
    <col min="15873" max="15873" width="10.453125" style="214" customWidth="1"/>
    <col min="15874" max="15874" width="52.453125" style="214" customWidth="1"/>
    <col min="15875" max="15879" width="20.453125" style="214" customWidth="1"/>
    <col min="15880" max="15880" width="23" style="214" customWidth="1"/>
    <col min="15881" max="15883" width="20.453125" style="214" customWidth="1"/>
    <col min="15884" max="15884" width="20" style="214" customWidth="1"/>
    <col min="15885" max="15886" width="15.1796875" style="214" customWidth="1"/>
    <col min="15887" max="16128" width="11.453125" style="214"/>
    <col min="16129" max="16129" width="10.453125" style="214" customWidth="1"/>
    <col min="16130" max="16130" width="52.453125" style="214" customWidth="1"/>
    <col min="16131" max="16135" width="20.453125" style="214" customWidth="1"/>
    <col min="16136" max="16136" width="23" style="214" customWidth="1"/>
    <col min="16137" max="16139" width="20.453125" style="214" customWidth="1"/>
    <col min="16140" max="16140" width="20" style="214" customWidth="1"/>
    <col min="16141" max="16142" width="15.1796875" style="214" customWidth="1"/>
    <col min="16143" max="16384" width="11.453125" style="214"/>
  </cols>
  <sheetData>
    <row r="1" spans="1:22" ht="15.5">
      <c r="A1" s="209"/>
      <c r="B1" s="89"/>
      <c r="C1" s="89"/>
      <c r="D1" s="89"/>
      <c r="E1" s="110"/>
      <c r="F1" s="89"/>
      <c r="G1" s="89"/>
      <c r="H1" s="89"/>
      <c r="I1" s="89"/>
      <c r="J1" s="89"/>
      <c r="K1" s="89"/>
      <c r="L1" s="89"/>
      <c r="M1" s="89"/>
    </row>
    <row r="2" spans="1:22" ht="15.5">
      <c r="A2" s="2284" t="str">
        <f>+'PSO TCOS'!F4</f>
        <v xml:space="preserve">AEP West SPP Member Operating Companies </v>
      </c>
      <c r="B2" s="2284"/>
      <c r="C2" s="2284"/>
      <c r="D2" s="2284"/>
      <c r="E2" s="2284"/>
      <c r="F2" s="2284"/>
      <c r="G2" s="2284"/>
      <c r="H2" s="2284"/>
      <c r="I2" s="18"/>
      <c r="J2" s="18"/>
      <c r="K2" s="18"/>
      <c r="L2" s="18"/>
      <c r="M2" s="18"/>
    </row>
    <row r="3" spans="1:22" ht="15.5">
      <c r="A3" s="2278" t="str">
        <f>+'PSO WS A-1 - Plant'!A3</f>
        <v xml:space="preserve">Actual / Projected 2024 Rate Year Cost of Service Formula Rate </v>
      </c>
      <c r="B3" s="2278"/>
      <c r="C3" s="2278"/>
      <c r="D3" s="2278"/>
      <c r="E3" s="2278"/>
      <c r="F3" s="2278"/>
      <c r="G3" s="2278"/>
      <c r="H3" s="2278"/>
      <c r="I3" s="114"/>
      <c r="J3" s="114"/>
      <c r="K3" s="114"/>
      <c r="L3" s="114"/>
      <c r="M3" s="114"/>
    </row>
    <row r="4" spans="1:22" ht="15.5">
      <c r="A4" s="2279" t="s">
        <v>920</v>
      </c>
      <c r="B4" s="2279"/>
      <c r="C4" s="2279"/>
      <c r="D4" s="2279"/>
      <c r="E4" s="2279"/>
      <c r="F4" s="2279"/>
      <c r="G4" s="2279"/>
      <c r="H4" s="2279"/>
      <c r="I4" s="114"/>
      <c r="J4" s="114"/>
      <c r="K4" s="114"/>
      <c r="L4" s="114"/>
      <c r="M4" s="114"/>
    </row>
    <row r="5" spans="1:22" ht="15.5">
      <c r="A5" s="2365" t="str">
        <f>+'PSO TCOS'!F8</f>
        <v>PUBLIC SERVICE COMPANY OF OKLAHOMA</v>
      </c>
      <c r="B5" s="2365"/>
      <c r="C5" s="2365"/>
      <c r="D5" s="2365"/>
      <c r="E5" s="2365"/>
      <c r="F5" s="2365"/>
      <c r="G5" s="2365"/>
      <c r="H5" s="2365"/>
      <c r="I5" s="143"/>
      <c r="J5" s="143"/>
      <c r="K5" s="143"/>
      <c r="L5" s="143"/>
      <c r="M5" s="143"/>
    </row>
    <row r="6" spans="1:22">
      <c r="A6" s="215"/>
      <c r="B6" s="216"/>
      <c r="C6" s="216"/>
      <c r="D6" s="216"/>
      <c r="E6" s="217"/>
      <c r="F6" s="218"/>
      <c r="H6" s="208"/>
      <c r="I6" s="208"/>
      <c r="J6" s="208"/>
      <c r="K6" s="208"/>
      <c r="L6" s="208"/>
    </row>
    <row r="7" spans="1:22" ht="12.75" customHeight="1">
      <c r="A7" s="213"/>
      <c r="B7" s="219"/>
      <c r="C7" s="2371" t="s">
        <v>175</v>
      </c>
      <c r="D7" s="2372"/>
      <c r="E7" s="2372"/>
      <c r="F7" s="2372"/>
      <c r="G7" s="2373"/>
      <c r="H7" s="208"/>
      <c r="I7" s="208"/>
      <c r="J7" s="208"/>
      <c r="K7" s="208"/>
      <c r="L7" s="208"/>
    </row>
    <row r="8" spans="1:22" s="223" customFormat="1" ht="50.25" customHeight="1">
      <c r="A8" s="220" t="s">
        <v>722</v>
      </c>
      <c r="B8" s="221" t="s">
        <v>705</v>
      </c>
      <c r="C8" s="1822" t="s">
        <v>889</v>
      </c>
      <c r="D8" s="1289" t="s">
        <v>890</v>
      </c>
      <c r="E8" s="1289" t="s">
        <v>891</v>
      </c>
      <c r="F8" s="1289" t="s">
        <v>892</v>
      </c>
      <c r="G8" s="222" t="s">
        <v>175</v>
      </c>
      <c r="H8" s="208"/>
      <c r="I8" s="208"/>
      <c r="J8" s="208"/>
      <c r="K8" s="208"/>
      <c r="L8" s="208"/>
    </row>
    <row r="9" spans="1:22" s="229" customFormat="1">
      <c r="A9" s="224"/>
      <c r="B9" s="225" t="s">
        <v>731</v>
      </c>
      <c r="C9" s="226" t="s">
        <v>732</v>
      </c>
      <c r="D9" s="227" t="s">
        <v>733</v>
      </c>
      <c r="E9" s="227" t="s">
        <v>734</v>
      </c>
      <c r="F9" s="227" t="s">
        <v>735</v>
      </c>
      <c r="G9" s="228" t="s">
        <v>893</v>
      </c>
      <c r="H9" s="208"/>
      <c r="I9" s="208"/>
      <c r="J9" s="208"/>
      <c r="K9" s="208"/>
      <c r="L9" s="208"/>
    </row>
    <row r="10" spans="1:22" s="229" customFormat="1" ht="44.25" customHeight="1">
      <c r="A10" s="224"/>
      <c r="B10" s="225" t="s">
        <v>894</v>
      </c>
      <c r="C10" s="230" t="s">
        <v>895</v>
      </c>
      <c r="D10" s="231" t="s">
        <v>896</v>
      </c>
      <c r="E10" s="231" t="s">
        <v>897</v>
      </c>
      <c r="F10" s="231" t="s">
        <v>898</v>
      </c>
      <c r="G10" s="232"/>
      <c r="H10" s="208"/>
      <c r="I10" s="208"/>
      <c r="J10" s="208"/>
      <c r="K10" s="208"/>
      <c r="L10" s="208"/>
    </row>
    <row r="11" spans="1:22">
      <c r="A11" s="224">
        <v>1</v>
      </c>
      <c r="B11" s="233" t="s">
        <v>741</v>
      </c>
      <c r="C11" s="2443">
        <v>2570612292.4699979</v>
      </c>
      <c r="D11" s="2119">
        <v>0</v>
      </c>
      <c r="E11" s="2119">
        <v>0</v>
      </c>
      <c r="F11" s="2443">
        <v>-231815.78</v>
      </c>
      <c r="G11" s="234">
        <f t="shared" ref="G11:G23" si="0">+C11-D11-E11-F11</f>
        <v>2570844108.2499981</v>
      </c>
      <c r="H11" s="208"/>
      <c r="I11"/>
      <c r="J11"/>
      <c r="K11"/>
      <c r="L11"/>
      <c r="M11"/>
      <c r="N11"/>
      <c r="O11"/>
      <c r="P11"/>
      <c r="Q11"/>
      <c r="R11"/>
      <c r="S11"/>
      <c r="T11"/>
      <c r="U11"/>
      <c r="V11"/>
    </row>
    <row r="12" spans="1:22">
      <c r="A12" s="224">
        <f t="shared" ref="A12:A24" si="1">+A11+1</f>
        <v>2</v>
      </c>
      <c r="B12" s="233" t="s">
        <v>322</v>
      </c>
      <c r="C12" s="2443">
        <v>2578234575.0900006</v>
      </c>
      <c r="D12" s="2119"/>
      <c r="E12" s="2119"/>
      <c r="F12" s="2443">
        <v>-229671.24</v>
      </c>
      <c r="G12" s="234">
        <f t="shared" si="0"/>
        <v>2578464246.3300004</v>
      </c>
      <c r="H12" s="208"/>
      <c r="I12" s="208"/>
      <c r="J12" s="208"/>
      <c r="K12" s="208"/>
      <c r="L12" s="208"/>
    </row>
    <row r="13" spans="1:22">
      <c r="A13" s="224">
        <f t="shared" si="1"/>
        <v>3</v>
      </c>
      <c r="B13" s="235" t="s">
        <v>515</v>
      </c>
      <c r="C13" s="2443">
        <v>2578665650.8599997</v>
      </c>
      <c r="D13" s="2119"/>
      <c r="E13" s="2119"/>
      <c r="F13" s="2443">
        <v>-227526.74</v>
      </c>
      <c r="G13" s="234">
        <f t="shared" si="0"/>
        <v>2578893177.5999994</v>
      </c>
      <c r="H13" s="208"/>
      <c r="I13" s="208"/>
      <c r="J13" s="208"/>
      <c r="K13" s="208"/>
      <c r="L13" s="208"/>
    </row>
    <row r="14" spans="1:22">
      <c r="A14" s="224">
        <f t="shared" si="1"/>
        <v>4</v>
      </c>
      <c r="B14" s="235" t="s">
        <v>742</v>
      </c>
      <c r="C14" s="2443">
        <v>2607593757.823</v>
      </c>
      <c r="D14" s="2119"/>
      <c r="E14" s="2119"/>
      <c r="F14" s="2443">
        <v>-225382.22</v>
      </c>
      <c r="G14" s="234">
        <f t="shared" si="0"/>
        <v>2607819140.0429997</v>
      </c>
      <c r="H14" s="208"/>
      <c r="I14" s="208"/>
      <c r="J14" s="208"/>
      <c r="K14" s="208"/>
      <c r="L14" s="208"/>
    </row>
    <row r="15" spans="1:22">
      <c r="A15" s="224">
        <f t="shared" si="1"/>
        <v>5</v>
      </c>
      <c r="B15" s="235" t="s">
        <v>324</v>
      </c>
      <c r="C15" s="2443">
        <v>2592995787.8319988</v>
      </c>
      <c r="D15" s="2119"/>
      <c r="E15" s="2119"/>
      <c r="F15" s="2443">
        <v>-223237.7</v>
      </c>
      <c r="G15" s="234">
        <f t="shared" si="0"/>
        <v>2593219025.5319986</v>
      </c>
      <c r="H15" s="208"/>
      <c r="I15" s="208"/>
      <c r="J15" s="208"/>
      <c r="K15" s="208"/>
      <c r="L15" s="208"/>
    </row>
    <row r="16" spans="1:22">
      <c r="A16" s="224">
        <f t="shared" si="1"/>
        <v>6</v>
      </c>
      <c r="B16" s="235" t="s">
        <v>325</v>
      </c>
      <c r="C16" s="2443">
        <v>2573622919.7179999</v>
      </c>
      <c r="D16" s="2119"/>
      <c r="E16" s="2119"/>
      <c r="F16" s="2443">
        <v>-221093.18</v>
      </c>
      <c r="G16" s="234">
        <f t="shared" si="0"/>
        <v>2573844012.8979998</v>
      </c>
      <c r="H16" s="208"/>
      <c r="I16" s="208"/>
      <c r="J16" s="208"/>
      <c r="K16" s="208"/>
      <c r="L16" s="208"/>
    </row>
    <row r="17" spans="1:23">
      <c r="A17" s="224">
        <f t="shared" si="1"/>
        <v>7</v>
      </c>
      <c r="B17" s="235" t="s">
        <v>48</v>
      </c>
      <c r="C17" s="2443">
        <v>2609147887.4580002</v>
      </c>
      <c r="D17" s="2119"/>
      <c r="E17" s="2119"/>
      <c r="F17" s="2443">
        <v>-218948.66</v>
      </c>
      <c r="G17" s="234">
        <f t="shared" si="0"/>
        <v>2609366836.118</v>
      </c>
      <c r="H17" s="208"/>
      <c r="I17" s="208"/>
      <c r="J17" s="208"/>
      <c r="K17" s="208"/>
      <c r="L17" s="208"/>
    </row>
    <row r="18" spans="1:23">
      <c r="A18" s="224">
        <f t="shared" si="1"/>
        <v>8</v>
      </c>
      <c r="B18" s="235" t="s">
        <v>326</v>
      </c>
      <c r="C18" s="2443">
        <v>2650230259.7669992</v>
      </c>
      <c r="D18" s="2119"/>
      <c r="E18" s="2119"/>
      <c r="F18" s="2443">
        <v>-216804.13</v>
      </c>
      <c r="G18" s="234">
        <f t="shared" si="0"/>
        <v>2650447063.8969994</v>
      </c>
      <c r="H18" s="208"/>
      <c r="I18" s="208"/>
      <c r="J18" s="208"/>
      <c r="K18" s="208"/>
      <c r="L18" s="208"/>
    </row>
    <row r="19" spans="1:23">
      <c r="A19" s="224">
        <f t="shared" si="1"/>
        <v>9</v>
      </c>
      <c r="B19" s="235" t="s">
        <v>743</v>
      </c>
      <c r="C19" s="2443">
        <v>2662128033.8430009</v>
      </c>
      <c r="D19" s="2119"/>
      <c r="E19" s="2119"/>
      <c r="F19" s="2443">
        <v>-214659.61000000002</v>
      </c>
      <c r="G19" s="234">
        <f t="shared" si="0"/>
        <v>2662342693.453001</v>
      </c>
      <c r="H19" s="208"/>
      <c r="I19" s="208"/>
      <c r="J19" s="208"/>
      <c r="K19" s="208"/>
      <c r="L19" s="208"/>
    </row>
    <row r="20" spans="1:23">
      <c r="A20" s="224">
        <f t="shared" si="1"/>
        <v>10</v>
      </c>
      <c r="B20" s="235" t="s">
        <v>329</v>
      </c>
      <c r="C20" s="2443">
        <v>2679231578.9080005</v>
      </c>
      <c r="D20" s="2119"/>
      <c r="E20" s="2119"/>
      <c r="F20" s="2443">
        <v>-8834932.0999999996</v>
      </c>
      <c r="G20" s="234">
        <f t="shared" si="0"/>
        <v>2688066511.0080004</v>
      </c>
      <c r="H20" s="208"/>
      <c r="I20" s="208"/>
      <c r="J20" s="208"/>
      <c r="K20" s="208"/>
      <c r="L20" s="208"/>
    </row>
    <row r="21" spans="1:23">
      <c r="A21" s="224">
        <f t="shared" si="1"/>
        <v>11</v>
      </c>
      <c r="B21" s="235" t="s">
        <v>516</v>
      </c>
      <c r="C21" s="2443">
        <v>2688618249.8109999</v>
      </c>
      <c r="D21" s="2119"/>
      <c r="E21" s="2119"/>
      <c r="F21" s="2443">
        <v>-8832787.5800000001</v>
      </c>
      <c r="G21" s="234">
        <f t="shared" si="0"/>
        <v>2697451037.3909998</v>
      </c>
      <c r="H21" s="208"/>
      <c r="I21" s="208"/>
      <c r="J21" s="208"/>
      <c r="K21" s="208"/>
      <c r="L21" s="208"/>
    </row>
    <row r="22" spans="1:23">
      <c r="A22" s="224">
        <f t="shared" si="1"/>
        <v>12</v>
      </c>
      <c r="B22" s="235" t="s">
        <v>517</v>
      </c>
      <c r="C22" s="2443">
        <v>2657702543.7780013</v>
      </c>
      <c r="D22" s="2119"/>
      <c r="E22" s="2119"/>
      <c r="F22" s="2443">
        <v>-8830643.0600000005</v>
      </c>
      <c r="G22" s="234">
        <f t="shared" si="0"/>
        <v>2666533186.8380013</v>
      </c>
      <c r="H22" s="208"/>
      <c r="I22" s="208"/>
      <c r="J22" s="208"/>
      <c r="K22" s="208"/>
      <c r="L22" s="208"/>
    </row>
    <row r="23" spans="1:23">
      <c r="A23" s="236">
        <f t="shared" si="1"/>
        <v>13</v>
      </c>
      <c r="B23" s="237" t="s">
        <v>744</v>
      </c>
      <c r="C23" s="2443">
        <v>2685657348.7169995</v>
      </c>
      <c r="D23" s="2119">
        <v>0</v>
      </c>
      <c r="E23" s="2119">
        <v>0</v>
      </c>
      <c r="F23" s="2443">
        <v>3603635.27</v>
      </c>
      <c r="G23" s="234">
        <f t="shared" si="0"/>
        <v>2682053713.4469995</v>
      </c>
      <c r="H23" s="208"/>
      <c r="I23" s="208"/>
      <c r="J23" s="208"/>
      <c r="K23" s="208"/>
      <c r="L23" s="208"/>
    </row>
    <row r="24" spans="1:23" ht="13.5" thickBot="1">
      <c r="A24" s="238">
        <f t="shared" si="1"/>
        <v>14</v>
      </c>
      <c r="B24" s="1749" t="s">
        <v>1228</v>
      </c>
      <c r="C24" s="239">
        <f>AVERAGE(C11:C23)</f>
        <v>2625726222.0057693</v>
      </c>
      <c r="D24" s="2120">
        <f>AVERAGE(D11:D23)</f>
        <v>0</v>
      </c>
      <c r="E24" s="2120">
        <f>AVERAGE(E11:E23)</f>
        <v>0</v>
      </c>
      <c r="F24" s="239">
        <f>AVERAGE(F11:F23)</f>
        <v>-1915682.0561538462</v>
      </c>
      <c r="G24" s="239">
        <f>AVERAGE(G11:G23)</f>
        <v>2627641904.0619226</v>
      </c>
      <c r="H24" s="208"/>
      <c r="I24" s="208"/>
      <c r="J24" s="208"/>
      <c r="K24" s="208"/>
      <c r="L24" s="208"/>
    </row>
    <row r="25" spans="1:23" ht="13.5" thickTop="1">
      <c r="A25" s="213"/>
      <c r="B25" s="240"/>
      <c r="C25" s="241"/>
      <c r="D25" s="241"/>
      <c r="E25" s="241"/>
      <c r="F25" s="241"/>
      <c r="G25" s="241"/>
      <c r="H25" s="241"/>
      <c r="I25" s="208"/>
      <c r="J25" s="208"/>
      <c r="K25" s="208"/>
      <c r="L25" s="208"/>
    </row>
    <row r="26" spans="1:23" ht="12.75" customHeight="1">
      <c r="A26" s="213"/>
      <c r="B26" s="219"/>
      <c r="C26" s="2374" t="s">
        <v>899</v>
      </c>
      <c r="D26" s="2375"/>
      <c r="E26" s="2375"/>
      <c r="F26" s="2375"/>
      <c r="G26" s="2375"/>
      <c r="H26" s="2376"/>
      <c r="I26" s="208"/>
      <c r="J26" s="208"/>
      <c r="K26" s="208"/>
      <c r="L26" s="208"/>
    </row>
    <row r="27" spans="1:23" s="223" customFormat="1" ht="39">
      <c r="A27" s="220" t="s">
        <v>722</v>
      </c>
      <c r="B27" s="221" t="s">
        <v>705</v>
      </c>
      <c r="C27" s="1822" t="s">
        <v>900</v>
      </c>
      <c r="D27" s="1289" t="s">
        <v>901</v>
      </c>
      <c r="E27" s="1289" t="s">
        <v>902</v>
      </c>
      <c r="F27" s="1289" t="s">
        <v>903</v>
      </c>
      <c r="G27" s="1289" t="s">
        <v>904</v>
      </c>
      <c r="H27" s="222" t="s">
        <v>905</v>
      </c>
      <c r="I27" s="208"/>
      <c r="J27" s="208"/>
      <c r="K27" s="208"/>
      <c r="L27" s="208"/>
    </row>
    <row r="28" spans="1:23" s="229" customFormat="1">
      <c r="A28" s="224"/>
      <c r="B28" s="225" t="s">
        <v>731</v>
      </c>
      <c r="C28" s="226" t="s">
        <v>732</v>
      </c>
      <c r="D28" s="227" t="s">
        <v>733</v>
      </c>
      <c r="E28" s="227" t="s">
        <v>734</v>
      </c>
      <c r="F28" s="227" t="s">
        <v>735</v>
      </c>
      <c r="G28" s="227" t="s">
        <v>736</v>
      </c>
      <c r="H28" s="228" t="s">
        <v>906</v>
      </c>
      <c r="I28" s="208"/>
      <c r="J28" s="208"/>
      <c r="K28" s="208"/>
      <c r="L28" s="208"/>
    </row>
    <row r="29" spans="1:23" s="229" customFormat="1" ht="44.25" customHeight="1">
      <c r="A29" s="224"/>
      <c r="B29" s="225" t="s">
        <v>894</v>
      </c>
      <c r="C29" s="230" t="s">
        <v>907</v>
      </c>
      <c r="D29" s="231" t="s">
        <v>908</v>
      </c>
      <c r="E29" s="231" t="s">
        <v>909</v>
      </c>
      <c r="F29" s="231" t="s">
        <v>910</v>
      </c>
      <c r="G29" s="231" t="s">
        <v>911</v>
      </c>
      <c r="H29" s="242"/>
      <c r="I29" s="208"/>
      <c r="J29" s="208"/>
      <c r="K29" s="208"/>
      <c r="L29" s="208"/>
    </row>
    <row r="30" spans="1:23">
      <c r="A30" s="224">
        <f>+A24+1</f>
        <v>15</v>
      </c>
      <c r="B30" s="233" t="s">
        <v>741</v>
      </c>
      <c r="C30" s="2444">
        <v>0</v>
      </c>
      <c r="D30" s="2444">
        <v>0</v>
      </c>
      <c r="E30" s="2444">
        <v>0</v>
      </c>
      <c r="F30" s="2443">
        <v>2401982564.1900001</v>
      </c>
      <c r="G30" s="2119">
        <v>0</v>
      </c>
      <c r="H30" s="234">
        <f t="shared" ref="H30:H42" si="2">+C30-D30+E30+F30-G30</f>
        <v>2401982564.1900001</v>
      </c>
      <c r="I30" s="208"/>
      <c r="J30"/>
      <c r="K30"/>
      <c r="L30"/>
      <c r="M30"/>
      <c r="N30"/>
      <c r="O30"/>
      <c r="P30"/>
      <c r="Q30"/>
      <c r="R30"/>
      <c r="S30"/>
      <c r="T30"/>
      <c r="U30"/>
      <c r="V30"/>
      <c r="W30"/>
    </row>
    <row r="31" spans="1:23">
      <c r="A31" s="224">
        <f t="shared" ref="A31:A43" si="3">+A30+1</f>
        <v>16</v>
      </c>
      <c r="B31" s="233" t="s">
        <v>322</v>
      </c>
      <c r="C31" s="2444">
        <v>0</v>
      </c>
      <c r="D31" s="2444">
        <v>0</v>
      </c>
      <c r="E31" s="2444">
        <v>0</v>
      </c>
      <c r="F31" s="2443">
        <v>2401936584.5</v>
      </c>
      <c r="G31" s="2119"/>
      <c r="H31" s="234">
        <f t="shared" si="2"/>
        <v>2401936584.5</v>
      </c>
      <c r="I31" s="208"/>
      <c r="J31" s="208"/>
      <c r="K31" s="208"/>
      <c r="L31" s="208"/>
    </row>
    <row r="32" spans="1:23">
      <c r="A32" s="224">
        <f t="shared" si="3"/>
        <v>17</v>
      </c>
      <c r="B32" s="235" t="s">
        <v>515</v>
      </c>
      <c r="C32" s="2444">
        <v>0</v>
      </c>
      <c r="D32" s="2444">
        <v>0</v>
      </c>
      <c r="E32" s="2444">
        <v>0</v>
      </c>
      <c r="F32" s="2443">
        <v>2401890489.8600001</v>
      </c>
      <c r="G32" s="2119"/>
      <c r="H32" s="234">
        <f t="shared" si="2"/>
        <v>2401890489.8600001</v>
      </c>
      <c r="I32" s="208"/>
      <c r="J32" s="208"/>
      <c r="K32" s="208"/>
      <c r="L32" s="208"/>
    </row>
    <row r="33" spans="1:12">
      <c r="A33" s="224">
        <f t="shared" si="3"/>
        <v>18</v>
      </c>
      <c r="B33" s="235" t="s">
        <v>742</v>
      </c>
      <c r="C33" s="2444">
        <v>0</v>
      </c>
      <c r="D33" s="2444">
        <v>0</v>
      </c>
      <c r="E33" s="2444">
        <v>0</v>
      </c>
      <c r="F33" s="2443">
        <v>2401844279.9900002</v>
      </c>
      <c r="G33" s="2119"/>
      <c r="H33" s="234">
        <f t="shared" si="2"/>
        <v>2401844279.9900002</v>
      </c>
      <c r="I33" s="208"/>
      <c r="J33" s="208"/>
      <c r="K33" s="208"/>
      <c r="L33" s="208"/>
    </row>
    <row r="34" spans="1:12">
      <c r="A34" s="224">
        <f t="shared" si="3"/>
        <v>19</v>
      </c>
      <c r="B34" s="235" t="s">
        <v>324</v>
      </c>
      <c r="C34" s="2444">
        <v>0</v>
      </c>
      <c r="D34" s="2444">
        <v>0</v>
      </c>
      <c r="E34" s="2444">
        <v>0</v>
      </c>
      <c r="F34" s="2443">
        <v>2401797954.5900002</v>
      </c>
      <c r="G34" s="2119"/>
      <c r="H34" s="234">
        <f t="shared" si="2"/>
        <v>2401797954.5900002</v>
      </c>
      <c r="I34" s="208"/>
      <c r="J34" s="208"/>
      <c r="K34" s="208"/>
      <c r="L34" s="208"/>
    </row>
    <row r="35" spans="1:12">
      <c r="A35" s="224">
        <f t="shared" si="3"/>
        <v>20</v>
      </c>
      <c r="B35" s="235" t="s">
        <v>325</v>
      </c>
      <c r="C35" s="2444">
        <v>0</v>
      </c>
      <c r="D35" s="2444">
        <v>0</v>
      </c>
      <c r="E35" s="2444">
        <v>0</v>
      </c>
      <c r="F35" s="2443">
        <v>2401751513.3800001</v>
      </c>
      <c r="G35" s="2119"/>
      <c r="H35" s="234">
        <f t="shared" si="2"/>
        <v>2401751513.3800001</v>
      </c>
      <c r="I35" s="208"/>
      <c r="J35" s="208"/>
      <c r="K35" s="208"/>
      <c r="L35" s="208"/>
    </row>
    <row r="36" spans="1:12">
      <c r="A36" s="224">
        <f t="shared" si="3"/>
        <v>21</v>
      </c>
      <c r="B36" s="235" t="s">
        <v>48</v>
      </c>
      <c r="C36" s="2444">
        <v>0</v>
      </c>
      <c r="D36" s="2444">
        <v>0</v>
      </c>
      <c r="E36" s="2444">
        <v>0</v>
      </c>
      <c r="F36" s="2443">
        <v>2401704956.0599999</v>
      </c>
      <c r="G36" s="2119"/>
      <c r="H36" s="234">
        <f t="shared" si="2"/>
        <v>2401704956.0599999</v>
      </c>
      <c r="I36" s="208"/>
      <c r="J36" s="208"/>
      <c r="K36" s="208"/>
      <c r="L36" s="208"/>
    </row>
    <row r="37" spans="1:12">
      <c r="A37" s="224">
        <f t="shared" si="3"/>
        <v>22</v>
      </c>
      <c r="B37" s="235" t="s">
        <v>326</v>
      </c>
      <c r="C37" s="2444">
        <v>0</v>
      </c>
      <c r="D37" s="2444">
        <v>0</v>
      </c>
      <c r="E37" s="2444">
        <v>0</v>
      </c>
      <c r="F37" s="2443">
        <v>2401658282.3500004</v>
      </c>
      <c r="G37" s="2119"/>
      <c r="H37" s="234">
        <f t="shared" si="2"/>
        <v>2401658282.3500004</v>
      </c>
      <c r="I37" s="208"/>
      <c r="J37" s="208"/>
      <c r="K37" s="208"/>
      <c r="L37" s="208"/>
    </row>
    <row r="38" spans="1:12">
      <c r="A38" s="224">
        <f t="shared" si="3"/>
        <v>23</v>
      </c>
      <c r="B38" s="235" t="s">
        <v>743</v>
      </c>
      <c r="C38" s="2444">
        <v>0</v>
      </c>
      <c r="D38" s="2444">
        <v>0</v>
      </c>
      <c r="E38" s="2444">
        <v>0</v>
      </c>
      <c r="F38" s="2443">
        <v>2401611491.96</v>
      </c>
      <c r="G38" s="2119"/>
      <c r="H38" s="234">
        <f t="shared" si="2"/>
        <v>2401611491.96</v>
      </c>
      <c r="I38" s="208"/>
      <c r="J38" s="208"/>
      <c r="K38" s="208"/>
      <c r="L38" s="208"/>
    </row>
    <row r="39" spans="1:12">
      <c r="A39" s="224">
        <f t="shared" si="3"/>
        <v>24</v>
      </c>
      <c r="B39" s="235" t="s">
        <v>329</v>
      </c>
      <c r="C39" s="2444">
        <v>0</v>
      </c>
      <c r="D39" s="2444">
        <v>0</v>
      </c>
      <c r="E39" s="2444">
        <v>0</v>
      </c>
      <c r="F39" s="2443">
        <v>2401564584.5900002</v>
      </c>
      <c r="G39" s="2119"/>
      <c r="H39" s="234">
        <f t="shared" si="2"/>
        <v>2401564584.5900002</v>
      </c>
      <c r="I39" s="208"/>
      <c r="J39" s="208"/>
      <c r="K39" s="208"/>
      <c r="L39" s="208"/>
    </row>
    <row r="40" spans="1:12">
      <c r="A40" s="224">
        <f t="shared" si="3"/>
        <v>25</v>
      </c>
      <c r="B40" s="235" t="s">
        <v>516</v>
      </c>
      <c r="C40" s="2444">
        <v>0</v>
      </c>
      <c r="D40" s="2444">
        <v>0</v>
      </c>
      <c r="E40" s="2444">
        <v>0</v>
      </c>
      <c r="F40" s="2443">
        <v>2401517559.9499998</v>
      </c>
      <c r="G40" s="2119"/>
      <c r="H40" s="234">
        <f t="shared" si="2"/>
        <v>2401517559.9499998</v>
      </c>
      <c r="I40" s="208"/>
      <c r="J40" s="208"/>
      <c r="K40" s="208"/>
      <c r="L40" s="208"/>
    </row>
    <row r="41" spans="1:12">
      <c r="A41" s="224">
        <f t="shared" si="3"/>
        <v>26</v>
      </c>
      <c r="B41" s="235" t="s">
        <v>517</v>
      </c>
      <c r="C41" s="2444">
        <v>0</v>
      </c>
      <c r="D41" s="2444">
        <v>0</v>
      </c>
      <c r="E41" s="2444">
        <v>0</v>
      </c>
      <c r="F41" s="2443">
        <v>2276470417.75</v>
      </c>
      <c r="G41" s="2119"/>
      <c r="H41" s="234">
        <f t="shared" si="2"/>
        <v>2276470417.75</v>
      </c>
      <c r="I41" s="208"/>
      <c r="J41" s="208"/>
      <c r="K41" s="208"/>
      <c r="L41" s="208"/>
    </row>
    <row r="42" spans="1:12">
      <c r="A42" s="236">
        <f t="shared" si="3"/>
        <v>27</v>
      </c>
      <c r="B42" s="237" t="s">
        <v>744</v>
      </c>
      <c r="C42" s="2444">
        <v>0</v>
      </c>
      <c r="D42" s="2444">
        <v>0</v>
      </c>
      <c r="E42" s="2444">
        <v>0</v>
      </c>
      <c r="F42" s="2443">
        <v>2876423157.6900001</v>
      </c>
      <c r="G42" s="2119">
        <v>0</v>
      </c>
      <c r="H42" s="234">
        <f t="shared" si="2"/>
        <v>2876423157.6900001</v>
      </c>
      <c r="I42" s="208"/>
      <c r="J42" s="208"/>
      <c r="K42" s="208"/>
      <c r="L42" s="208"/>
    </row>
    <row r="43" spans="1:12" ht="13.5" thickBot="1">
      <c r="A43" s="238">
        <f t="shared" si="3"/>
        <v>28</v>
      </c>
      <c r="B43" s="1749" t="s">
        <v>1228</v>
      </c>
      <c r="C43" s="2120">
        <f t="shared" ref="C43:H43" si="4">AVERAGE(C30:C42)</f>
        <v>0</v>
      </c>
      <c r="D43" s="2120">
        <f t="shared" si="4"/>
        <v>0</v>
      </c>
      <c r="E43" s="2120">
        <f t="shared" si="4"/>
        <v>0</v>
      </c>
      <c r="F43" s="239">
        <f t="shared" si="4"/>
        <v>2428627218.2200003</v>
      </c>
      <c r="G43" s="2120">
        <f t="shared" si="4"/>
        <v>0</v>
      </c>
      <c r="H43" s="239">
        <f t="shared" si="4"/>
        <v>2428627218.2200003</v>
      </c>
      <c r="I43" s="208"/>
      <c r="J43" s="208"/>
      <c r="K43" s="208"/>
      <c r="L43" s="208"/>
    </row>
    <row r="44" spans="1:12" ht="13.5" thickTop="1">
      <c r="A44" s="215"/>
      <c r="B44" s="243"/>
      <c r="C44" s="241"/>
      <c r="D44" s="241"/>
      <c r="E44" s="241"/>
      <c r="F44" s="241"/>
      <c r="G44" s="241"/>
      <c r="H44" s="244"/>
      <c r="I44" s="208"/>
      <c r="J44" s="208"/>
      <c r="K44" s="208"/>
      <c r="L44" s="208"/>
    </row>
    <row r="45" spans="1:12" ht="12.75" customHeight="1">
      <c r="A45" s="245" t="s">
        <v>912</v>
      </c>
      <c r="F45" s="246"/>
      <c r="G45" s="246"/>
      <c r="H45" s="246"/>
      <c r="I45" s="208"/>
      <c r="J45" s="208"/>
      <c r="K45" s="208"/>
    </row>
    <row r="46" spans="1:12">
      <c r="E46" s="246"/>
      <c r="F46" s="246"/>
      <c r="G46" s="246"/>
      <c r="H46" s="246"/>
      <c r="J46" s="243"/>
    </row>
    <row r="47" spans="1:12" ht="15.5">
      <c r="A47" s="248" t="s">
        <v>170</v>
      </c>
      <c r="E47" s="246"/>
      <c r="F47" s="246"/>
      <c r="G47" s="246"/>
      <c r="H47" s="213"/>
    </row>
    <row r="48" spans="1:12" ht="25.5">
      <c r="A48" s="220" t="s">
        <v>722</v>
      </c>
      <c r="B48" s="249" t="s">
        <v>731</v>
      </c>
      <c r="C48" s="249" t="s">
        <v>732</v>
      </c>
      <c r="D48" s="250" t="s">
        <v>733</v>
      </c>
      <c r="E48" s="249" t="s">
        <v>734</v>
      </c>
      <c r="F48" s="250" t="s">
        <v>735</v>
      </c>
      <c r="G48" s="249" t="s">
        <v>736</v>
      </c>
      <c r="H48" s="249" t="s">
        <v>737</v>
      </c>
    </row>
    <row r="49" spans="1:12" ht="15.5">
      <c r="A49" s="248"/>
      <c r="B49" s="249"/>
      <c r="C49" s="249"/>
      <c r="D49" s="250"/>
      <c r="E49" s="249"/>
      <c r="F49" s="250"/>
      <c r="G49" s="249"/>
      <c r="H49" s="249"/>
    </row>
    <row r="50" spans="1:12">
      <c r="A50" s="251">
        <f>+A43+1</f>
        <v>29</v>
      </c>
      <c r="B50" s="252" t="str">
        <f>"Annual Interest Expense for "&amp;'PSO TCOS'!N2</f>
        <v>Annual Interest Expense for 2024</v>
      </c>
      <c r="C50" s="253"/>
      <c r="D50" s="254"/>
      <c r="E50" s="255"/>
      <c r="F50" s="255"/>
      <c r="G50" s="255"/>
      <c r="H50" s="255"/>
      <c r="I50" s="255"/>
      <c r="J50" s="255"/>
      <c r="K50" s="255"/>
      <c r="L50" s="255"/>
    </row>
    <row r="51" spans="1:12">
      <c r="A51" s="251">
        <f t="shared" ref="A51:A58" si="5">+A50+1</f>
        <v>30</v>
      </c>
      <c r="B51" s="256" t="s">
        <v>630</v>
      </c>
      <c r="C51" s="253"/>
      <c r="D51" s="254"/>
      <c r="E51" s="2443">
        <v>101794305.27</v>
      </c>
      <c r="F51" s="241"/>
      <c r="G51" s="255"/>
      <c r="H51" s="255"/>
      <c r="I51" s="255"/>
      <c r="J51" s="255"/>
      <c r="K51" s="255"/>
      <c r="L51" s="255"/>
    </row>
    <row r="52" spans="1:12" ht="28.5" customHeight="1">
      <c r="A52" s="251">
        <f t="shared" si="5"/>
        <v>31</v>
      </c>
      <c r="B52" s="2367" t="str">
        <f>"Less: Total Hedge Gain/Expense Accumulated from p 256-257, col. (i) of FERC Form 1  included in Ln "&amp;A51&amp;" and shown in "&amp;A76&amp;" below."</f>
        <v>Less: Total Hedge Gain/Expense Accumulated from p 256-257, col. (i) of FERC Form 1  included in Ln 30 and shown in 50 below.</v>
      </c>
      <c r="C52" s="2368"/>
      <c r="D52" s="254"/>
      <c r="E52" s="2121">
        <f>+C76</f>
        <v>0</v>
      </c>
      <c r="F52" s="255"/>
      <c r="G52" s="255"/>
      <c r="H52" s="255"/>
      <c r="I52" s="255"/>
      <c r="J52" s="255"/>
      <c r="K52" s="255"/>
      <c r="L52" s="255"/>
    </row>
    <row r="53" spans="1:12" ht="16.5" customHeight="1">
      <c r="A53" s="251">
        <f t="shared" si="5"/>
        <v>32</v>
      </c>
      <c r="B53" s="257" t="str">
        <f>"Plus:  Allowed Hedge Recovery From Ln "&amp;A82&amp;"  below."</f>
        <v>Plus:  Allowed Hedge Recovery From Ln 55  below.</v>
      </c>
      <c r="C53" s="258"/>
      <c r="D53" s="254"/>
      <c r="E53" s="2122">
        <f>+E82</f>
        <v>0</v>
      </c>
      <c r="F53" s="255"/>
      <c r="G53" s="255"/>
      <c r="H53" s="255"/>
      <c r="I53" s="255"/>
      <c r="J53" s="255"/>
      <c r="K53" s="255"/>
      <c r="L53" s="255"/>
    </row>
    <row r="54" spans="1:12">
      <c r="A54" s="251">
        <f t="shared" si="5"/>
        <v>33</v>
      </c>
      <c r="B54" s="256" t="s">
        <v>671</v>
      </c>
      <c r="C54" s="255"/>
      <c r="D54" s="255"/>
      <c r="E54" s="2444">
        <v>1594461.2000000002</v>
      </c>
      <c r="F54" s="241"/>
      <c r="G54" s="255"/>
      <c r="H54" s="255"/>
      <c r="I54" s="255"/>
      <c r="J54" s="255"/>
    </row>
    <row r="55" spans="1:12">
      <c r="A55" s="251">
        <f t="shared" si="5"/>
        <v>34</v>
      </c>
      <c r="B55" s="256" t="s">
        <v>672</v>
      </c>
      <c r="C55" s="259"/>
      <c r="D55" s="254"/>
      <c r="E55" s="2444">
        <v>436126.56</v>
      </c>
      <c r="F55" s="241"/>
      <c r="G55" s="255"/>
      <c r="H55" s="255"/>
      <c r="I55" s="255"/>
      <c r="J55" s="255"/>
    </row>
    <row r="56" spans="1:12">
      <c r="A56" s="251">
        <f t="shared" si="5"/>
        <v>35</v>
      </c>
      <c r="B56" s="256" t="s">
        <v>673</v>
      </c>
      <c r="C56" s="259"/>
      <c r="D56" s="254"/>
      <c r="E56" s="2119">
        <v>0</v>
      </c>
      <c r="F56" s="255"/>
      <c r="G56" s="255"/>
      <c r="H56" s="255"/>
      <c r="I56" s="461"/>
      <c r="J56" s="255"/>
    </row>
    <row r="57" spans="1:12">
      <c r="A57" s="251">
        <f t="shared" si="5"/>
        <v>36</v>
      </c>
      <c r="B57" s="256" t="s">
        <v>674</v>
      </c>
      <c r="C57" s="259"/>
      <c r="D57" s="254"/>
      <c r="E57" s="2119">
        <v>0</v>
      </c>
      <c r="F57" s="255"/>
      <c r="G57" s="255"/>
      <c r="H57" s="255"/>
      <c r="I57" s="255"/>
      <c r="J57" s="255"/>
    </row>
    <row r="58" spans="1:12">
      <c r="A58" s="251">
        <f t="shared" si="5"/>
        <v>37</v>
      </c>
      <c r="B58" s="252" t="str">
        <f>"Total Interest Expense (Ln "&amp;A51&amp;" - "&amp;A52&amp;" + "&amp;A54&amp;" + "&amp;A55&amp;" - "&amp;A56&amp;" - "&amp;A57&amp;")"</f>
        <v>Total Interest Expense (Ln 30 - 31 + 33 + 34 - 35 - 36)</v>
      </c>
      <c r="C58" s="260"/>
      <c r="D58" s="261"/>
      <c r="E58" s="284">
        <f>+E51-E52+E53+E54+E55-E56-E57</f>
        <v>103824893.03</v>
      </c>
      <c r="F58" s="255"/>
      <c r="G58" s="255"/>
      <c r="H58" s="255"/>
      <c r="I58" s="255"/>
      <c r="J58" s="255"/>
    </row>
    <row r="59" spans="1:12" ht="13.5" thickBot="1">
      <c r="A59" s="251"/>
      <c r="B59" s="263"/>
      <c r="C59" s="259"/>
      <c r="D59" s="254"/>
      <c r="E59" s="262"/>
      <c r="F59" s="255"/>
      <c r="G59" s="255"/>
      <c r="H59" s="255"/>
      <c r="I59" s="255"/>
      <c r="J59" s="255"/>
    </row>
    <row r="60" spans="1:12" ht="13.5" thickBot="1">
      <c r="A60" s="251">
        <f>+A58+1</f>
        <v>38</v>
      </c>
      <c r="B60" s="252" t="str">
        <f>"Average Cost of Debt for "&amp;'PSO TCOS'!N2&amp;" (Ln "&amp;A58&amp;"/ ln "&amp;A43&amp;" (g))"</f>
        <v>Average Cost of Debt for 2024 (Ln 37/ ln 28 (g))</v>
      </c>
      <c r="C60" s="260"/>
      <c r="D60" s="254"/>
      <c r="E60" s="264">
        <f>IF(ISERROR(+E58/H43),0,E58/H43)</f>
        <v>4.2750444469652191E-2</v>
      </c>
      <c r="F60" s="255"/>
      <c r="G60" s="255"/>
      <c r="H60" s="255"/>
      <c r="I60" s="255"/>
      <c r="J60" s="255"/>
    </row>
    <row r="61" spans="1:12">
      <c r="A61" s="265"/>
      <c r="B61" s="263"/>
      <c r="C61" s="259"/>
      <c r="D61" s="254"/>
      <c r="E61" s="259"/>
      <c r="F61" s="255"/>
      <c r="G61" s="255"/>
      <c r="H61" s="255"/>
      <c r="I61" s="255"/>
      <c r="J61" s="255"/>
    </row>
    <row r="62" spans="1:12" s="268" customFormat="1" ht="28.5" customHeight="1">
      <c r="A62" s="266"/>
      <c r="B62" s="2369" t="s">
        <v>913</v>
      </c>
      <c r="C62" s="2369"/>
      <c r="D62" s="2369"/>
      <c r="E62" s="2369"/>
      <c r="F62" s="267"/>
    </row>
    <row r="63" spans="1:12" s="268" customFormat="1" ht="65.25" customHeight="1">
      <c r="A63" s="285">
        <f>+A60+1</f>
        <v>39</v>
      </c>
      <c r="B63" s="2366" t="s">
        <v>914</v>
      </c>
      <c r="C63" s="2366"/>
      <c r="D63" s="2366"/>
      <c r="E63" s="2366"/>
      <c r="F63" s="2366"/>
      <c r="G63" s="2366"/>
      <c r="H63" s="2366"/>
    </row>
    <row r="64" spans="1:12" s="268" customFormat="1" ht="12" customHeight="1">
      <c r="A64" s="266"/>
      <c r="B64" s="269"/>
      <c r="C64" s="269"/>
      <c r="D64" s="269"/>
      <c r="E64" s="269"/>
      <c r="G64" s="2370" t="s">
        <v>915</v>
      </c>
      <c r="H64" s="2370"/>
    </row>
    <row r="65" spans="1:10" s="268" customFormat="1" ht="52.5" customHeight="1">
      <c r="A65" s="251"/>
      <c r="B65" s="271" t="s">
        <v>916</v>
      </c>
      <c r="C65" s="272" t="str">
        <f>"Total Hedge (Gain)/Loss for "&amp;'PSO TCOS'!N2</f>
        <v>Total Hedge (Gain)/Loss for 2024</v>
      </c>
      <c r="D65" s="272" t="str">
        <f>"Less Excludable Amounts (See NOTE on Line "&amp;A63&amp;")"</f>
        <v>Less Excludable Amounts (See NOTE on Line 39)</v>
      </c>
      <c r="E65" s="272" t="s">
        <v>917</v>
      </c>
      <c r="F65" s="272" t="s">
        <v>918</v>
      </c>
      <c r="G65" s="272" t="s">
        <v>462</v>
      </c>
      <c r="H65" s="272" t="s">
        <v>464</v>
      </c>
    </row>
    <row r="66" spans="1:10" s="268" customFormat="1" ht="12.75" customHeight="1">
      <c r="A66" s="251">
        <f>+A63+1</f>
        <v>40</v>
      </c>
      <c r="B66" s="287" t="s">
        <v>1017</v>
      </c>
      <c r="C66" s="2123">
        <v>0</v>
      </c>
      <c r="D66" s="2119">
        <v>0</v>
      </c>
      <c r="E66" s="2124">
        <f>+C66-D66</f>
        <v>0</v>
      </c>
      <c r="F66" s="2119">
        <f>$C$66</f>
        <v>0</v>
      </c>
      <c r="G66" s="2119">
        <f t="shared" ref="G66:H66" si="6">$C$66</f>
        <v>0</v>
      </c>
      <c r="H66" s="2119">
        <f t="shared" si="6"/>
        <v>0</v>
      </c>
      <c r="I66" s="208"/>
      <c r="J66" s="208"/>
    </row>
    <row r="67" spans="1:10" s="268" customFormat="1" ht="12.75" customHeight="1">
      <c r="A67" s="251">
        <f t="shared" ref="A67:A76" si="7">+A66+1</f>
        <v>41</v>
      </c>
      <c r="B67" s="287"/>
      <c r="C67" s="2123"/>
      <c r="D67" s="2119">
        <v>0</v>
      </c>
      <c r="E67" s="2124">
        <f t="shared" ref="E67:E74" si="8">+C67-D67</f>
        <v>0</v>
      </c>
      <c r="F67" s="2119"/>
      <c r="G67" s="2119"/>
      <c r="H67" s="2119"/>
    </row>
    <row r="68" spans="1:10" s="268" customFormat="1" ht="12.75" customHeight="1">
      <c r="A68" s="251">
        <f t="shared" si="7"/>
        <v>42</v>
      </c>
      <c r="B68" s="125"/>
      <c r="C68" s="2119"/>
      <c r="D68" s="2119"/>
      <c r="E68" s="2124">
        <f t="shared" si="8"/>
        <v>0</v>
      </c>
      <c r="F68" s="2119"/>
      <c r="G68" s="2119"/>
      <c r="H68" s="2119"/>
    </row>
    <row r="69" spans="1:10" s="268" customFormat="1" ht="12.75" customHeight="1">
      <c r="A69" s="251">
        <f t="shared" si="7"/>
        <v>43</v>
      </c>
      <c r="B69" s="125"/>
      <c r="C69" s="2119"/>
      <c r="D69" s="2119"/>
      <c r="E69" s="2124">
        <f t="shared" si="8"/>
        <v>0</v>
      </c>
      <c r="F69" s="2119"/>
      <c r="G69" s="2119"/>
      <c r="H69" s="2119"/>
    </row>
    <row r="70" spans="1:10" s="268" customFormat="1" ht="12.75" customHeight="1">
      <c r="A70" s="251">
        <f t="shared" si="7"/>
        <v>44</v>
      </c>
      <c r="B70" s="125"/>
      <c r="C70" s="2119"/>
      <c r="D70" s="2119"/>
      <c r="E70" s="2124">
        <f t="shared" si="8"/>
        <v>0</v>
      </c>
      <c r="F70" s="2119"/>
      <c r="G70" s="2119"/>
      <c r="H70" s="2119"/>
    </row>
    <row r="71" spans="1:10" s="268" customFormat="1" ht="12.75" customHeight="1">
      <c r="A71" s="251">
        <f t="shared" si="7"/>
        <v>45</v>
      </c>
      <c r="B71" s="125"/>
      <c r="C71" s="2119"/>
      <c r="D71" s="2119"/>
      <c r="E71" s="2124">
        <f t="shared" si="8"/>
        <v>0</v>
      </c>
      <c r="F71" s="2119"/>
      <c r="G71" s="2119"/>
      <c r="H71" s="2119"/>
    </row>
    <row r="72" spans="1:10" s="268" customFormat="1" ht="12.75" customHeight="1">
      <c r="A72" s="251">
        <f t="shared" si="7"/>
        <v>46</v>
      </c>
      <c r="B72" s="125"/>
      <c r="C72" s="2119"/>
      <c r="D72" s="2119"/>
      <c r="E72" s="2124">
        <f t="shared" si="8"/>
        <v>0</v>
      </c>
      <c r="F72" s="2119"/>
      <c r="G72" s="2119"/>
      <c r="H72" s="2119"/>
    </row>
    <row r="73" spans="1:10" s="268" customFormat="1" ht="12.75" customHeight="1">
      <c r="A73" s="251">
        <f t="shared" si="7"/>
        <v>47</v>
      </c>
      <c r="B73" s="125"/>
      <c r="C73" s="2119"/>
      <c r="D73" s="2119"/>
      <c r="E73" s="2124">
        <f t="shared" si="8"/>
        <v>0</v>
      </c>
      <c r="F73" s="2119"/>
      <c r="G73" s="2119"/>
      <c r="H73" s="2119"/>
    </row>
    <row r="74" spans="1:10" s="268" customFormat="1" ht="12.75" customHeight="1">
      <c r="A74" s="251">
        <f t="shared" si="7"/>
        <v>48</v>
      </c>
      <c r="B74" s="125"/>
      <c r="C74" s="2119"/>
      <c r="D74" s="2119"/>
      <c r="E74" s="2124">
        <f t="shared" si="8"/>
        <v>0</v>
      </c>
      <c r="F74" s="2119"/>
      <c r="G74" s="2119"/>
      <c r="H74" s="2119"/>
    </row>
    <row r="75" spans="1:10" s="268" customFormat="1" ht="12.75" customHeight="1">
      <c r="A75" s="251">
        <f t="shared" si="7"/>
        <v>49</v>
      </c>
      <c r="B75" s="208"/>
      <c r="C75" s="2125"/>
      <c r="D75" s="2125"/>
      <c r="E75" s="2126"/>
      <c r="F75" s="2124">
        <f>SUM(F66:F74)</f>
        <v>0</v>
      </c>
      <c r="G75" s="2124"/>
      <c r="H75" s="2124"/>
    </row>
    <row r="76" spans="1:10" s="268" customFormat="1" ht="12.75" customHeight="1">
      <c r="A76" s="251">
        <f t="shared" si="7"/>
        <v>50</v>
      </c>
      <c r="B76" s="263" t="s">
        <v>171</v>
      </c>
      <c r="C76" s="262">
        <f>SUM(C66:C74)</f>
        <v>0</v>
      </c>
      <c r="D76" s="262">
        <f>SUM(D66:D74)</f>
        <v>0</v>
      </c>
    </row>
    <row r="77" spans="1:10" s="268" customFormat="1" ht="21" customHeight="1">
      <c r="A77" s="251"/>
      <c r="B77" s="263"/>
      <c r="C77" s="262"/>
      <c r="D77" s="262"/>
      <c r="E77" s="262"/>
    </row>
    <row r="78" spans="1:10" s="268" customFormat="1" ht="14.25" customHeight="1">
      <c r="A78" s="251">
        <f>+A76+1</f>
        <v>51</v>
      </c>
      <c r="B78" s="263" t="str">
        <f>"Hedge Gain or Loss Prior to Application of Recovery Limit (Sum of Lines "&amp;A66&amp;" to "&amp;A74&amp;")"</f>
        <v>Hedge Gain or Loss Prior to Application of Recovery Limit (Sum of Lines 40 to 48)</v>
      </c>
      <c r="C78" s="262"/>
      <c r="D78" s="262"/>
      <c r="E78" s="2127">
        <f>SUM(E66:E74)</f>
        <v>0</v>
      </c>
    </row>
    <row r="79" spans="1:10" s="268" customFormat="1" ht="12.75" customHeight="1">
      <c r="A79" s="251">
        <f>+A78+1</f>
        <v>52</v>
      </c>
      <c r="B79" s="275" t="str">
        <f>"Total Average Capital Structure Balance for "&amp;'PSO TCOS'!N2&amp;" (TCOS, Ln "&amp;'PSO TCOS'!B238&amp;")"</f>
        <v>Total Average Capital Structure Balance for 2024 (TCOS, Ln 144)</v>
      </c>
      <c r="C79" s="259"/>
      <c r="D79" s="254"/>
      <c r="E79" s="276">
        <f>+'PSO TCOS'!E238</f>
        <v>5056269122.2819233</v>
      </c>
      <c r="H79" s="273"/>
    </row>
    <row r="80" spans="1:10" s="268" customFormat="1" ht="12.75" customHeight="1">
      <c r="A80" s="251">
        <f>+A79+1</f>
        <v>53</v>
      </c>
      <c r="B80" s="263" t="s">
        <v>172</v>
      </c>
      <c r="C80" s="259"/>
      <c r="D80" s="254"/>
      <c r="E80" s="277">
        <v>5.0000000000000001E-4</v>
      </c>
      <c r="G80" s="278"/>
    </row>
    <row r="81" spans="1:6" s="268" customFormat="1" ht="12.75" customHeight="1" thickBot="1">
      <c r="A81" s="251">
        <f>+A80+1</f>
        <v>54</v>
      </c>
      <c r="B81" s="263" t="s">
        <v>173</v>
      </c>
      <c r="C81" s="259"/>
      <c r="D81" s="254"/>
      <c r="E81" s="279">
        <f>+E79*E80</f>
        <v>2528134.5611409615</v>
      </c>
    </row>
    <row r="82" spans="1:6" s="268" customFormat="1" ht="12.75" customHeight="1" thickBot="1">
      <c r="A82" s="251">
        <f>+A81+1</f>
        <v>55</v>
      </c>
      <c r="B82" s="252" t="str">
        <f>"Recoverable Hedge Amortization (Lesser of Ln "&amp;A78&amp;" or Ln "&amp;A81&amp;")"</f>
        <v>Recoverable Hedge Amortization (Lesser of Ln 51 or Ln 54)</v>
      </c>
      <c r="C82" s="259"/>
      <c r="D82" s="254"/>
      <c r="E82" s="2128">
        <f>+IF(E81&lt;E78,E81,E78)</f>
        <v>0</v>
      </c>
    </row>
    <row r="83" spans="1:6" s="268" customFormat="1" ht="12.75" customHeight="1">
      <c r="A83" s="251"/>
      <c r="B83" s="263"/>
      <c r="C83" s="259"/>
      <c r="D83" s="254"/>
      <c r="E83" s="2127"/>
    </row>
    <row r="84" spans="1:6" s="268" customFormat="1" ht="12.75" customHeight="1">
      <c r="A84" s="281" t="s">
        <v>174</v>
      </c>
      <c r="B84" s="282"/>
      <c r="C84" s="259"/>
      <c r="D84" s="254"/>
      <c r="E84" s="2127"/>
    </row>
    <row r="85" spans="1:6" s="268" customFormat="1" ht="12.75" customHeight="1">
      <c r="A85" s="270"/>
      <c r="B85" s="254"/>
      <c r="C85" s="253"/>
      <c r="D85" s="253"/>
      <c r="E85" s="2124"/>
    </row>
    <row r="86" spans="1:6" s="268" customFormat="1" ht="12.75" customHeight="1">
      <c r="A86" s="251">
        <f>+A82+1</f>
        <v>56</v>
      </c>
      <c r="B86" s="254" t="str">
        <f>"13 Month Average Balance of Preferred Stock (Ln "&amp;A24&amp;" Col. "&amp;D9&amp;")"</f>
        <v>13 Month Average Balance of Preferred Stock (Ln 14 Col. (c))</v>
      </c>
      <c r="C86"/>
      <c r="D86"/>
      <c r="E86" s="2129">
        <f>+D24</f>
        <v>0</v>
      </c>
      <c r="F86" s="254"/>
    </row>
    <row r="87" spans="1:6" s="268" customFormat="1" ht="12.75" customHeight="1" thickBot="1">
      <c r="A87" s="251">
        <f>+A86+1</f>
        <v>57</v>
      </c>
      <c r="B87" s="254" t="s">
        <v>919</v>
      </c>
      <c r="C87"/>
      <c r="D87"/>
      <c r="E87" s="2119">
        <v>0</v>
      </c>
    </row>
    <row r="88" spans="1:6" s="268" customFormat="1" ht="12.75" customHeight="1" thickBot="1">
      <c r="A88" s="251">
        <f>+A87+1</f>
        <v>58</v>
      </c>
      <c r="B88" s="254" t="str">
        <f>"Average Cost of Preferred Stock (Ln "&amp;A87&amp;"/ Ln "&amp;A86&amp;")"</f>
        <v>Average Cost of Preferred Stock (Ln 57/ Ln 56)</v>
      </c>
      <c r="C88"/>
      <c r="D88"/>
      <c r="E88" s="264">
        <f>IF(E86=0,0,+E87/E86)</f>
        <v>0</v>
      </c>
    </row>
    <row r="89" spans="1:6">
      <c r="C89"/>
      <c r="D89"/>
    </row>
    <row r="130" spans="7:7">
      <c r="G130" s="214" t="s">
        <v>254</v>
      </c>
    </row>
    <row r="147" spans="7:12">
      <c r="G147" s="283"/>
      <c r="L147" s="283"/>
    </row>
  </sheetData>
  <mergeCells count="10">
    <mergeCell ref="B63:H63"/>
    <mergeCell ref="B52:C52"/>
    <mergeCell ref="B62:E62"/>
    <mergeCell ref="G64:H64"/>
    <mergeCell ref="A2:H2"/>
    <mergeCell ref="A3:H3"/>
    <mergeCell ref="C7:G7"/>
    <mergeCell ref="C26:H26"/>
    <mergeCell ref="A4:H4"/>
    <mergeCell ref="A5:H5"/>
  </mergeCells>
  <pageMargins left="0.7" right="0.7" top="0.75" bottom="0.75" header="0.3" footer="0.3"/>
  <pageSetup scale="46" fitToHeight="0" orientation="landscape" cellComments="asDisplayed" r:id="rId1"/>
  <headerFooter>
    <oddHeader xml:space="preserve">&amp;RAEP - SPP Formula Rate
TCOS - WS M 
Page: &amp;P of &amp;N
</oddHeader>
  </headerFooter>
  <rowBreaks count="1" manualBreakCount="1">
    <brk id="45"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73"/>
  <sheetViews>
    <sheetView topLeftCell="A43" zoomScaleNormal="100" workbookViewId="0">
      <selection activeCell="D11" sqref="D11"/>
    </sheetView>
  </sheetViews>
  <sheetFormatPr defaultColWidth="9.1796875" defaultRowHeight="12.5"/>
  <cols>
    <col min="1" max="1" width="1.54296875" style="286" customWidth="1"/>
    <col min="2" max="2" width="25.1796875" style="286" customWidth="1"/>
    <col min="3" max="3" width="1.54296875" style="286" customWidth="1"/>
    <col min="4" max="4" width="21.453125" style="286" customWidth="1"/>
    <col min="5" max="5" width="1.54296875" style="286" customWidth="1"/>
    <col min="6" max="6" width="22.453125" style="286" customWidth="1"/>
    <col min="7" max="7" width="1.54296875" style="286" customWidth="1"/>
    <col min="8" max="8" width="17.453125" style="286" customWidth="1"/>
    <col min="9" max="9" width="1.54296875" style="286" customWidth="1"/>
    <col min="10" max="10" width="15.54296875" style="286" customWidth="1"/>
    <col min="11" max="11" width="1.54296875" style="286" customWidth="1"/>
    <col min="12" max="12" width="15.81640625" style="286" customWidth="1"/>
    <col min="13" max="13" width="1.54296875" style="286" customWidth="1"/>
    <col min="14" max="14" width="13.54296875" style="286" customWidth="1"/>
    <col min="15" max="15" width="1.54296875" style="286" customWidth="1"/>
    <col min="16" max="16" width="14.1796875" style="286" customWidth="1"/>
    <col min="17" max="17" width="1.54296875" style="286" customWidth="1"/>
    <col min="18" max="18" width="14.453125" style="286" customWidth="1"/>
    <col min="19" max="19" width="7.54296875" style="286" bestFit="1" customWidth="1"/>
    <col min="20" max="20" width="3" style="286" hidden="1" customWidth="1"/>
    <col min="21" max="22" width="9.1796875" style="286"/>
    <col min="23" max="23" width="12.7265625" style="286" bestFit="1" customWidth="1"/>
    <col min="24" max="16384" width="9.1796875" style="286"/>
  </cols>
  <sheetData>
    <row r="1" spans="1:23" ht="15.5">
      <c r="A1" s="18" t="s">
        <v>875</v>
      </c>
    </row>
    <row r="2" spans="1:23" ht="15.5">
      <c r="A2" s="342"/>
    </row>
    <row r="3" spans="1:23" ht="15.5">
      <c r="A3" s="342"/>
      <c r="W3" s="2077"/>
    </row>
    <row r="4" spans="1:23" ht="15.5">
      <c r="B4" s="2378" t="s">
        <v>644</v>
      </c>
      <c r="C4" s="2378"/>
      <c r="D4" s="2378"/>
      <c r="E4" s="2378"/>
      <c r="F4" s="2378"/>
      <c r="G4" s="2378"/>
      <c r="H4" s="2378"/>
      <c r="I4" s="2378"/>
      <c r="J4" s="2378"/>
      <c r="K4" s="2378"/>
      <c r="L4" s="2378"/>
      <c r="M4" s="2378"/>
      <c r="N4" s="2378"/>
      <c r="O4" s="2378"/>
      <c r="P4" s="2378"/>
      <c r="Q4" s="2378"/>
      <c r="R4" s="2378"/>
      <c r="W4" s="2077"/>
    </row>
    <row r="5" spans="1:23" ht="15.5">
      <c r="B5" s="2379" t="str">
        <f>+'PSO WS A-1 - Plant'!A3</f>
        <v xml:space="preserve">Actual / Projected 2024 Rate Year Cost of Service Formula Rate </v>
      </c>
      <c r="C5" s="2379"/>
      <c r="D5" s="2379"/>
      <c r="E5" s="2379"/>
      <c r="F5" s="2379"/>
      <c r="G5" s="2379"/>
      <c r="H5" s="2379"/>
      <c r="I5" s="2379"/>
      <c r="J5" s="2379"/>
      <c r="K5" s="2379"/>
      <c r="L5" s="2379"/>
      <c r="M5" s="2379"/>
      <c r="N5" s="2379"/>
      <c r="O5" s="2379"/>
      <c r="P5" s="2379"/>
      <c r="Q5" s="2379"/>
      <c r="R5" s="2379"/>
      <c r="W5" s="1263"/>
    </row>
    <row r="6" spans="1:23" ht="15.5">
      <c r="B6" s="2379" t="s">
        <v>698</v>
      </c>
      <c r="C6" s="2379"/>
      <c r="D6" s="2379"/>
      <c r="E6" s="2379"/>
      <c r="F6" s="2379"/>
      <c r="G6" s="2379"/>
      <c r="H6" s="2379"/>
      <c r="I6" s="2379"/>
      <c r="J6" s="2379"/>
      <c r="K6" s="2379"/>
      <c r="L6" s="2379"/>
      <c r="M6" s="2379"/>
      <c r="N6" s="2379"/>
      <c r="O6" s="2379"/>
      <c r="P6" s="2379"/>
      <c r="Q6" s="2379"/>
      <c r="R6" s="2379"/>
    </row>
    <row r="7" spans="1:23" ht="15.5">
      <c r="B7" s="2340" t="str">
        <f>+'PSO TCOS'!F8</f>
        <v>PUBLIC SERVICE COMPANY OF OKLAHOMA</v>
      </c>
      <c r="C7" s="2379"/>
      <c r="D7" s="2379"/>
      <c r="E7" s="2379"/>
      <c r="F7" s="2379"/>
      <c r="G7" s="2379"/>
      <c r="H7" s="2379"/>
      <c r="I7" s="2379"/>
      <c r="J7" s="2379"/>
      <c r="K7" s="2379"/>
      <c r="L7" s="2379"/>
      <c r="M7" s="2379"/>
      <c r="N7" s="2379"/>
      <c r="O7" s="2379"/>
      <c r="P7" s="2379"/>
      <c r="Q7" s="2379"/>
      <c r="R7" s="2379"/>
    </row>
    <row r="8" spans="1:23" ht="16" thickBot="1">
      <c r="B8" s="2091"/>
      <c r="C8" s="482"/>
      <c r="D8" s="482"/>
      <c r="E8" s="482"/>
      <c r="F8" s="482"/>
      <c r="G8" s="482"/>
      <c r="H8" s="482"/>
      <c r="I8" s="482"/>
      <c r="J8" s="482"/>
      <c r="K8" s="482"/>
      <c r="P8" s="482"/>
      <c r="Q8" s="482"/>
      <c r="R8" s="482"/>
    </row>
    <row r="9" spans="1:23" ht="60.75" customHeight="1">
      <c r="B9" s="1230" t="str">
        <f>"True up Revenue Requirement For Year "&amp;J9&amp;" Available May, "&amp;J10&amp;" Net of Schedule 11 Revenue Credits"</f>
        <v>True up Revenue Requirement For Year 2024 Available May, 2025 Net of Schedule 11 Revenue Credits</v>
      </c>
      <c r="C9" s="482"/>
      <c r="D9" s="1230" t="s">
        <v>968</v>
      </c>
      <c r="E9" s="1231"/>
      <c r="F9" s="1232" t="s">
        <v>699</v>
      </c>
      <c r="G9" s="18"/>
      <c r="H9" s="1233" t="s">
        <v>700</v>
      </c>
      <c r="I9" s="482"/>
      <c r="J9" s="1234">
        <f>+'PSO TCOS'!N2</f>
        <v>2024</v>
      </c>
      <c r="K9" s="482"/>
      <c r="P9" s="18"/>
      <c r="Q9" s="18"/>
      <c r="R9" s="18"/>
    </row>
    <row r="10" spans="1:23" ht="15.5">
      <c r="B10" s="1235" t="s">
        <v>254</v>
      </c>
      <c r="C10" s="482"/>
      <c r="D10" s="1235"/>
      <c r="E10" s="1231"/>
      <c r="F10" s="1236"/>
      <c r="G10" s="18"/>
      <c r="H10" s="1237" t="s">
        <v>701</v>
      </c>
      <c r="I10" s="1238"/>
      <c r="J10" s="354">
        <f>J9+1</f>
        <v>2025</v>
      </c>
      <c r="P10" s="18"/>
      <c r="Q10" s="18"/>
      <c r="R10" s="18"/>
    </row>
    <row r="11" spans="1:23" ht="16" thickBot="1">
      <c r="B11" s="490">
        <f>+'Zonal Rates'!K23</f>
        <v>10194766.21853902</v>
      </c>
      <c r="C11" s="491" t="s">
        <v>702</v>
      </c>
      <c r="D11" s="2446">
        <v>8210155.6580343777</v>
      </c>
      <c r="E11" s="492" t="s">
        <v>703</v>
      </c>
      <c r="F11" s="493">
        <f>IF(B11=0,0,D11-B11)</f>
        <v>-1984610.5605046423</v>
      </c>
      <c r="G11" s="1239"/>
      <c r="H11" s="1233" t="s">
        <v>704</v>
      </c>
      <c r="I11" s="1240"/>
      <c r="J11" s="1241">
        <f>J10+1</f>
        <v>2026</v>
      </c>
      <c r="P11" s="18"/>
      <c r="Q11" s="18"/>
      <c r="R11" s="18"/>
    </row>
    <row r="12" spans="1:23" ht="15.5">
      <c r="B12" s="1240"/>
      <c r="C12" s="1241"/>
      <c r="D12" s="1241"/>
      <c r="E12" s="1240"/>
      <c r="F12" s="1240"/>
      <c r="G12" s="1240"/>
      <c r="H12" s="18"/>
      <c r="I12" s="18"/>
      <c r="P12" s="18"/>
      <c r="Q12" s="18"/>
      <c r="R12" s="18"/>
    </row>
    <row r="13" spans="1:23" ht="16" thickBot="1">
      <c r="B13" s="1242"/>
      <c r="C13" s="1243"/>
      <c r="D13" s="1242"/>
      <c r="E13" s="1242"/>
      <c r="F13" s="1242"/>
      <c r="G13" s="1242"/>
      <c r="H13" s="1242"/>
      <c r="I13" s="1242"/>
      <c r="J13" s="1242"/>
      <c r="K13" s="1242"/>
      <c r="L13" s="1242"/>
      <c r="M13" s="1242"/>
      <c r="N13" s="1244"/>
      <c r="O13" s="1244"/>
      <c r="P13" s="1244"/>
      <c r="Q13" s="1244"/>
      <c r="R13" s="1244"/>
    </row>
    <row r="14" spans="1:23" ht="15.5">
      <c r="B14" s="1245"/>
      <c r="C14" s="1241"/>
      <c r="D14" s="1240"/>
      <c r="E14" s="1240"/>
      <c r="F14" s="1240"/>
      <c r="G14" s="1240"/>
      <c r="H14" s="1240"/>
      <c r="I14" s="1240"/>
      <c r="J14" s="1240"/>
      <c r="K14" s="1240"/>
      <c r="L14" s="1240"/>
      <c r="M14" s="1240"/>
      <c r="N14" s="18"/>
      <c r="O14" s="18"/>
      <c r="P14" s="18"/>
      <c r="Q14" s="18"/>
      <c r="R14" s="18"/>
    </row>
    <row r="15" spans="1:23" ht="62">
      <c r="B15" s="1246" t="s">
        <v>705</v>
      </c>
      <c r="C15" s="1241"/>
      <c r="D15" s="1246" t="s">
        <v>706</v>
      </c>
      <c r="E15" s="1246"/>
      <c r="F15" s="1246" t="s">
        <v>707</v>
      </c>
      <c r="G15" s="1246"/>
      <c r="H15" s="1246" t="s">
        <v>708</v>
      </c>
      <c r="I15" s="1240"/>
      <c r="J15" s="1247" t="s">
        <v>709</v>
      </c>
      <c r="K15" s="1240"/>
      <c r="L15" s="1246" t="s">
        <v>948</v>
      </c>
      <c r="M15" s="1248"/>
      <c r="N15" s="1247" t="s">
        <v>710</v>
      </c>
      <c r="O15" s="1247"/>
      <c r="P15" s="1246" t="s">
        <v>711</v>
      </c>
      <c r="Q15" s="1249"/>
      <c r="R15" s="1246" t="s">
        <v>712</v>
      </c>
    </row>
    <row r="16" spans="1:23" ht="15.5">
      <c r="B16" s="1250"/>
      <c r="C16" s="1241"/>
      <c r="D16" s="18"/>
      <c r="E16" s="18"/>
      <c r="F16" s="18"/>
      <c r="G16" s="18"/>
      <c r="H16" s="18"/>
      <c r="I16" s="1251"/>
      <c r="J16" s="1251"/>
      <c r="K16" s="1251"/>
      <c r="N16" s="18"/>
      <c r="O16" s="18"/>
      <c r="P16" s="18"/>
      <c r="Q16" s="18"/>
      <c r="R16" s="18"/>
    </row>
    <row r="17" spans="2:20" ht="15.5">
      <c r="B17" s="1252" t="s">
        <v>713</v>
      </c>
      <c r="C17" s="1241"/>
      <c r="D17" s="1241"/>
      <c r="E17" s="1241"/>
      <c r="F17" s="1241"/>
      <c r="G17" s="1241"/>
      <c r="H17" s="1241"/>
      <c r="I17" s="1241"/>
      <c r="J17" s="1241"/>
      <c r="K17" s="1241"/>
      <c r="L17" s="18"/>
      <c r="M17" s="18"/>
      <c r="N17" s="1248"/>
      <c r="O17" s="1248"/>
      <c r="P17" s="1241"/>
      <c r="Q17" s="1241"/>
      <c r="R17" s="1241"/>
    </row>
    <row r="18" spans="2:20" ht="15.5">
      <c r="B18" s="1253" t="s">
        <v>127</v>
      </c>
      <c r="C18" s="1241"/>
      <c r="D18" s="1241"/>
      <c r="E18" s="1241"/>
      <c r="F18" s="1241"/>
      <c r="G18" s="1241"/>
      <c r="H18" s="1241"/>
      <c r="I18" s="1241"/>
      <c r="J18" s="1241"/>
      <c r="K18" s="1241"/>
      <c r="L18" s="18"/>
      <c r="M18" s="18"/>
      <c r="N18" s="1248"/>
      <c r="O18" s="1248"/>
      <c r="P18" s="1241"/>
      <c r="Q18" s="1241"/>
      <c r="R18" s="1241"/>
    </row>
    <row r="19" spans="2:20" ht="15.5">
      <c r="B19" s="1254">
        <f t="shared" ref="B19:B30" si="0">DATE($J$9,T19,1)</f>
        <v>45292</v>
      </c>
      <c r="C19" s="482"/>
      <c r="D19" s="479">
        <f>F11/12</f>
        <v>-165384.21337538687</v>
      </c>
      <c r="E19" s="480"/>
      <c r="F19" s="479">
        <v>0</v>
      </c>
      <c r="G19" s="479"/>
      <c r="H19" s="479">
        <v>0</v>
      </c>
      <c r="I19" s="479"/>
      <c r="J19" s="479">
        <f>F19+H19</f>
        <v>0</v>
      </c>
      <c r="K19" s="480"/>
      <c r="L19" s="481">
        <f>+'PSO WS Q Interest Rate'!E13</f>
        <v>7.1999999999999998E-3</v>
      </c>
      <c r="M19" s="482"/>
      <c r="N19" s="479">
        <f t="shared" ref="N19:N30" si="1">J19*L19</f>
        <v>0</v>
      </c>
      <c r="O19" s="479"/>
      <c r="P19" s="479"/>
      <c r="Q19" s="479"/>
      <c r="R19" s="479">
        <f>D19+N19</f>
        <v>-165384.21337538687</v>
      </c>
      <c r="T19" s="286">
        <v>1</v>
      </c>
    </row>
    <row r="20" spans="2:20" ht="15.5">
      <c r="B20" s="1254">
        <f t="shared" si="0"/>
        <v>45323</v>
      </c>
      <c r="C20" s="482"/>
      <c r="D20" s="479">
        <f>+D19</f>
        <v>-165384.21337538687</v>
      </c>
      <c r="E20" s="480"/>
      <c r="F20" s="479">
        <f>D19</f>
        <v>-165384.21337538687</v>
      </c>
      <c r="G20" s="479"/>
      <c r="H20" s="479">
        <v>0</v>
      </c>
      <c r="I20" s="479"/>
      <c r="J20" s="479">
        <f t="shared" ref="J20:J29" si="2">F20+H20</f>
        <v>-165384.21337538687</v>
      </c>
      <c r="K20" s="480"/>
      <c r="L20" s="481">
        <f>+'PSO WS Q Interest Rate'!E14</f>
        <v>6.7999999999999996E-3</v>
      </c>
      <c r="M20" s="482"/>
      <c r="N20" s="479">
        <f t="shared" si="1"/>
        <v>-1124.6126509526307</v>
      </c>
      <c r="O20" s="479"/>
      <c r="P20" s="479"/>
      <c r="Q20" s="479"/>
      <c r="R20" s="479">
        <f>SUM($D$19:D20)+SUM($N$19:N20)</f>
        <v>-331893.03940172639</v>
      </c>
      <c r="T20" s="286">
        <v>2</v>
      </c>
    </row>
    <row r="21" spans="2:20" ht="15.5">
      <c r="B21" s="1254">
        <f t="shared" si="0"/>
        <v>45352</v>
      </c>
      <c r="C21" s="482"/>
      <c r="D21" s="479">
        <f>+D20</f>
        <v>-165384.21337538687</v>
      </c>
      <c r="E21" s="480"/>
      <c r="F21" s="479">
        <f>D20+F20</f>
        <v>-330768.42675077374</v>
      </c>
      <c r="G21" s="479"/>
      <c r="H21" s="479">
        <v>0</v>
      </c>
      <c r="I21" s="479"/>
      <c r="J21" s="479">
        <f t="shared" si="2"/>
        <v>-330768.42675077374</v>
      </c>
      <c r="K21" s="480"/>
      <c r="L21" s="481">
        <f>+'PSO WS Q Interest Rate'!E15</f>
        <v>7.1999999999999998E-3</v>
      </c>
      <c r="M21" s="482"/>
      <c r="N21" s="479">
        <f t="shared" si="1"/>
        <v>-2381.532672605571</v>
      </c>
      <c r="O21" s="479"/>
      <c r="P21" s="479"/>
      <c r="Q21" s="479"/>
      <c r="R21" s="479">
        <f>SUM($D$19:D21)+SUM($N$19:N21)</f>
        <v>-499658.78544971877</v>
      </c>
      <c r="T21" s="286">
        <v>3</v>
      </c>
    </row>
    <row r="22" spans="2:20" ht="15.5">
      <c r="B22" s="1254">
        <f t="shared" si="0"/>
        <v>45383</v>
      </c>
      <c r="C22" s="482"/>
      <c r="D22" s="479">
        <f>+D21</f>
        <v>-165384.21337538687</v>
      </c>
      <c r="E22" s="480"/>
      <c r="F22" s="479">
        <f t="shared" ref="F22:F28" si="3">D21+F21</f>
        <v>-496152.64012616058</v>
      </c>
      <c r="G22" s="479"/>
      <c r="H22" s="479">
        <f>SUM($N$19:$N$21)</f>
        <v>-3506.1453235582017</v>
      </c>
      <c r="I22" s="479"/>
      <c r="J22" s="479">
        <f t="shared" si="2"/>
        <v>-499658.78544971877</v>
      </c>
      <c r="K22" s="480"/>
      <c r="L22" s="481">
        <f>+'PSO WS Q Interest Rate'!E16</f>
        <v>7.0000000000000001E-3</v>
      </c>
      <c r="M22" s="482"/>
      <c r="N22" s="479">
        <f t="shared" si="1"/>
        <v>-3497.6114981480314</v>
      </c>
      <c r="O22" s="479"/>
      <c r="P22" s="479"/>
      <c r="Q22" s="479"/>
      <c r="R22" s="479">
        <f>SUM($D$19:D22)+SUM($N$19:N22)</f>
        <v>-668540.61032325367</v>
      </c>
      <c r="T22" s="286">
        <v>4</v>
      </c>
    </row>
    <row r="23" spans="2:20" ht="15.5">
      <c r="B23" s="1254">
        <f t="shared" si="0"/>
        <v>45413</v>
      </c>
      <c r="C23" s="482"/>
      <c r="D23" s="479">
        <f t="shared" ref="D23:D28" si="4">+D22</f>
        <v>-165384.21337538687</v>
      </c>
      <c r="E23" s="480"/>
      <c r="F23" s="479">
        <f t="shared" si="3"/>
        <v>-661536.85350154748</v>
      </c>
      <c r="G23" s="479"/>
      <c r="H23" s="479">
        <f t="shared" ref="H23:H24" si="5">SUM($N$19:$N$21)</f>
        <v>-3506.1453235582017</v>
      </c>
      <c r="I23" s="479"/>
      <c r="J23" s="479">
        <f t="shared" si="2"/>
        <v>-665042.99882510572</v>
      </c>
      <c r="K23" s="480"/>
      <c r="L23" s="481">
        <f>+'PSO WS Q Interest Rate'!E17</f>
        <v>7.1999999999999998E-3</v>
      </c>
      <c r="M23" s="482"/>
      <c r="N23" s="479">
        <f t="shared" si="1"/>
        <v>-4788.3095915407612</v>
      </c>
      <c r="O23" s="479"/>
      <c r="P23" s="479"/>
      <c r="Q23" s="479"/>
      <c r="R23" s="479">
        <f>SUM($D$19:D23)+SUM($N$19:N23)</f>
        <v>-838713.1332901814</v>
      </c>
      <c r="T23" s="286">
        <v>5</v>
      </c>
    </row>
    <row r="24" spans="2:20" ht="15.5">
      <c r="B24" s="1254">
        <f t="shared" si="0"/>
        <v>45444</v>
      </c>
      <c r="C24" s="482"/>
      <c r="D24" s="479">
        <f t="shared" si="4"/>
        <v>-165384.21337538687</v>
      </c>
      <c r="E24" s="480"/>
      <c r="F24" s="479">
        <f t="shared" si="3"/>
        <v>-826921.06687693438</v>
      </c>
      <c r="G24" s="479"/>
      <c r="H24" s="479">
        <f t="shared" si="5"/>
        <v>-3506.1453235582017</v>
      </c>
      <c r="I24" s="479"/>
      <c r="J24" s="479">
        <f t="shared" si="2"/>
        <v>-830427.21220049262</v>
      </c>
      <c r="K24" s="480"/>
      <c r="L24" s="481">
        <f>+'PSO WS Q Interest Rate'!E18</f>
        <v>7.0000000000000001E-3</v>
      </c>
      <c r="M24" s="482"/>
      <c r="N24" s="479">
        <f t="shared" si="1"/>
        <v>-5812.9904854034485</v>
      </c>
      <c r="O24" s="479"/>
      <c r="P24" s="479"/>
      <c r="Q24" s="479"/>
      <c r="R24" s="479">
        <f>SUM($D$19:D24)+SUM($N$19:N24)</f>
        <v>-1009910.3371509718</v>
      </c>
      <c r="T24" s="286">
        <v>6</v>
      </c>
    </row>
    <row r="25" spans="2:20" ht="15.5">
      <c r="B25" s="1254">
        <f t="shared" si="0"/>
        <v>45474</v>
      </c>
      <c r="C25" s="482"/>
      <c r="D25" s="479">
        <f t="shared" si="4"/>
        <v>-165384.21337538687</v>
      </c>
      <c r="E25" s="480"/>
      <c r="F25" s="479">
        <f t="shared" si="3"/>
        <v>-992305.28025232127</v>
      </c>
      <c r="G25" s="479"/>
      <c r="H25" s="479">
        <f>$H$24+SUM($N$22:$N$24)</f>
        <v>-17605.056898650444</v>
      </c>
      <c r="I25" s="479"/>
      <c r="J25" s="479">
        <f t="shared" si="2"/>
        <v>-1009910.3371509718</v>
      </c>
      <c r="K25" s="480"/>
      <c r="L25" s="481">
        <f>+'PSO WS Q Interest Rate'!E19</f>
        <v>7.1999999999999998E-3</v>
      </c>
      <c r="M25" s="482"/>
      <c r="N25" s="479">
        <f t="shared" si="1"/>
        <v>-7271.3544274869964</v>
      </c>
      <c r="O25" s="479"/>
      <c r="P25" s="479"/>
      <c r="Q25" s="479"/>
      <c r="R25" s="479">
        <f>SUM($D$19:D25)+SUM($N$19:N25)</f>
        <v>-1182565.9049538455</v>
      </c>
      <c r="T25" s="286">
        <v>7</v>
      </c>
    </row>
    <row r="26" spans="2:20" ht="15.5">
      <c r="B26" s="1254">
        <f t="shared" si="0"/>
        <v>45505</v>
      </c>
      <c r="C26" s="482"/>
      <c r="D26" s="479">
        <f t="shared" si="4"/>
        <v>-165384.21337538687</v>
      </c>
      <c r="E26" s="480"/>
      <c r="F26" s="479">
        <f t="shared" si="3"/>
        <v>-1157689.4936277082</v>
      </c>
      <c r="G26" s="479"/>
      <c r="H26" s="479">
        <f>$H$24+SUM($N$22:$N$24)</f>
        <v>-17605.056898650444</v>
      </c>
      <c r="I26" s="479"/>
      <c r="J26" s="479">
        <f t="shared" si="2"/>
        <v>-1175294.5505263587</v>
      </c>
      <c r="K26" s="480"/>
      <c r="L26" s="481">
        <f>+'PSO WS Q Interest Rate'!E20</f>
        <v>7.1999999999999998E-3</v>
      </c>
      <c r="M26" s="482"/>
      <c r="N26" s="479">
        <f t="shared" si="1"/>
        <v>-8462.1207637897824</v>
      </c>
      <c r="O26" s="479"/>
      <c r="P26" s="479"/>
      <c r="Q26" s="479"/>
      <c r="R26" s="479">
        <f>SUM($D$19:D26)+SUM($N$19:N26)</f>
        <v>-1356412.2390930222</v>
      </c>
      <c r="T26" s="286">
        <v>8</v>
      </c>
    </row>
    <row r="27" spans="2:20" ht="15.5">
      <c r="B27" s="1254">
        <f t="shared" si="0"/>
        <v>45536</v>
      </c>
      <c r="C27" s="482"/>
      <c r="D27" s="479">
        <f t="shared" si="4"/>
        <v>-165384.21337538687</v>
      </c>
      <c r="E27" s="480"/>
      <c r="F27" s="479">
        <f t="shared" si="3"/>
        <v>-1323073.707003095</v>
      </c>
      <c r="G27" s="479"/>
      <c r="H27" s="479">
        <f>$H$24+SUM($N$22:$N$24)</f>
        <v>-17605.056898650444</v>
      </c>
      <c r="I27" s="479"/>
      <c r="J27" s="479">
        <f t="shared" si="2"/>
        <v>-1340678.7639017454</v>
      </c>
      <c r="K27" s="480"/>
      <c r="L27" s="481">
        <f>+'PSO WS Q Interest Rate'!E21</f>
        <v>7.0000000000000001E-3</v>
      </c>
      <c r="M27" s="482"/>
      <c r="N27" s="479">
        <f t="shared" si="1"/>
        <v>-9384.7513473122181</v>
      </c>
      <c r="O27" s="479"/>
      <c r="P27" s="479"/>
      <c r="Q27" s="479"/>
      <c r="R27" s="479">
        <f>SUM($D$19:D27)+SUM($N$19:N27)</f>
        <v>-1531181.2038157212</v>
      </c>
      <c r="T27" s="286">
        <v>9</v>
      </c>
    </row>
    <row r="28" spans="2:20" ht="15.5">
      <c r="B28" s="1254">
        <f t="shared" si="0"/>
        <v>45566</v>
      </c>
      <c r="C28" s="482"/>
      <c r="D28" s="479">
        <f t="shared" si="4"/>
        <v>-165384.21337538687</v>
      </c>
      <c r="E28" s="480"/>
      <c r="F28" s="479">
        <f t="shared" si="3"/>
        <v>-1488457.9203784817</v>
      </c>
      <c r="G28" s="479"/>
      <c r="H28" s="479">
        <f>$H$27+SUM($N$25:$N$27)</f>
        <v>-42723.283437239443</v>
      </c>
      <c r="I28" s="479"/>
      <c r="J28" s="479">
        <f t="shared" si="2"/>
        <v>-1531181.2038157212</v>
      </c>
      <c r="K28" s="480"/>
      <c r="L28" s="481">
        <f>+'PSO WS Q Interest Rate'!E22</f>
        <v>7.1999999999999998E-3</v>
      </c>
      <c r="M28" s="482"/>
      <c r="N28" s="479">
        <f t="shared" si="1"/>
        <v>-11024.504667473193</v>
      </c>
      <c r="O28" s="479"/>
      <c r="P28" s="479"/>
      <c r="Q28" s="479"/>
      <c r="R28" s="479">
        <f>SUM($D$19:D28)+SUM($N$19:N28)</f>
        <v>-1707589.9218585812</v>
      </c>
      <c r="T28" s="286">
        <v>10</v>
      </c>
    </row>
    <row r="29" spans="2:20" ht="15.5">
      <c r="B29" s="1254">
        <f t="shared" si="0"/>
        <v>45597</v>
      </c>
      <c r="C29" s="482"/>
      <c r="D29" s="479">
        <f>+D28</f>
        <v>-165384.21337538687</v>
      </c>
      <c r="E29" s="480"/>
      <c r="F29" s="479">
        <f>D28+F28</f>
        <v>-1653842.1337538685</v>
      </c>
      <c r="G29" s="479"/>
      <c r="H29" s="479">
        <f>$H$27+SUM($N$25:$N$27)</f>
        <v>-42723.283437239443</v>
      </c>
      <c r="I29" s="479"/>
      <c r="J29" s="479">
        <f t="shared" si="2"/>
        <v>-1696565.417191108</v>
      </c>
      <c r="K29" s="480"/>
      <c r="L29" s="481">
        <f>+'PSO WS Q Interest Rate'!E23</f>
        <v>7.0000000000000001E-3</v>
      </c>
      <c r="M29" s="482"/>
      <c r="N29" s="479">
        <f t="shared" si="1"/>
        <v>-11875.957920337756</v>
      </c>
      <c r="O29" s="479"/>
      <c r="P29" s="479"/>
      <c r="Q29" s="479"/>
      <c r="R29" s="479">
        <f>SUM($D$19:D29)+SUM($N$19:N29)</f>
        <v>-1884850.0931543056</v>
      </c>
      <c r="T29" s="286">
        <v>11</v>
      </c>
    </row>
    <row r="30" spans="2:20" ht="15.5">
      <c r="B30" s="1254">
        <f t="shared" si="0"/>
        <v>45627</v>
      </c>
      <c r="C30" s="482"/>
      <c r="D30" s="479">
        <f>+D29</f>
        <v>-165384.21337538687</v>
      </c>
      <c r="E30" s="480"/>
      <c r="F30" s="479">
        <f>D29+F29</f>
        <v>-1819226.3471292553</v>
      </c>
      <c r="G30" s="479"/>
      <c r="H30" s="479">
        <f>$H$27+SUM($N$25:$N$27)</f>
        <v>-42723.283437239443</v>
      </c>
      <c r="I30" s="479"/>
      <c r="J30" s="479">
        <f>F30+H30</f>
        <v>-1861949.6305664948</v>
      </c>
      <c r="K30" s="480"/>
      <c r="L30" s="481">
        <f>+'PSO WS Q Interest Rate'!E24</f>
        <v>7.1999999999999998E-3</v>
      </c>
      <c r="M30" s="482"/>
      <c r="N30" s="479">
        <f t="shared" si="1"/>
        <v>-13406.037340078761</v>
      </c>
      <c r="O30" s="488"/>
      <c r="P30" s="479"/>
      <c r="Q30" s="479"/>
      <c r="R30" s="479">
        <f>SUM($D$19:D30)+SUM($N$19:N30)</f>
        <v>-2063640.3438697713</v>
      </c>
      <c r="T30" s="286">
        <v>12</v>
      </c>
    </row>
    <row r="31" spans="2:20" ht="15.5">
      <c r="B31" s="482"/>
      <c r="C31" s="482"/>
      <c r="D31" s="479"/>
      <c r="E31" s="480"/>
      <c r="F31" s="479"/>
      <c r="G31" s="479"/>
      <c r="H31" s="479"/>
      <c r="I31" s="479"/>
      <c r="J31" s="479"/>
      <c r="K31" s="480"/>
      <c r="L31" s="1241"/>
      <c r="M31" s="482"/>
      <c r="N31" s="488"/>
      <c r="O31" s="488"/>
      <c r="P31" s="479"/>
      <c r="Q31" s="479"/>
      <c r="R31" s="1255"/>
    </row>
    <row r="32" spans="2:20" ht="15.5">
      <c r="B32" s="1253" t="s">
        <v>714</v>
      </c>
      <c r="C32" s="482"/>
      <c r="D32" s="479"/>
      <c r="E32" s="480"/>
      <c r="F32" s="479"/>
      <c r="G32" s="479"/>
      <c r="H32" s="479"/>
      <c r="I32" s="479"/>
      <c r="J32" s="479"/>
      <c r="K32" s="480"/>
      <c r="L32" s="1241"/>
      <c r="M32" s="482"/>
      <c r="N32" s="479"/>
      <c r="O32" s="479"/>
      <c r="P32" s="479" t="s">
        <v>254</v>
      </c>
      <c r="Q32" s="479"/>
      <c r="R32" s="1256"/>
    </row>
    <row r="33" spans="2:20" ht="15.5">
      <c r="B33" s="1254">
        <f t="shared" ref="B33:B44" si="6">DATE($J$10,T33,1)</f>
        <v>45658</v>
      </c>
      <c r="C33" s="482"/>
      <c r="D33" s="479">
        <v>0</v>
      </c>
      <c r="E33" s="480"/>
      <c r="F33" s="479">
        <f>D30+F30</f>
        <v>-1984610.5605046421</v>
      </c>
      <c r="G33" s="479"/>
      <c r="H33" s="479">
        <f>$H$30+SUM($N$28:$N$30)</f>
        <v>-79029.783365129158</v>
      </c>
      <c r="I33" s="479"/>
      <c r="J33" s="479">
        <f>F33+H33</f>
        <v>-2063640.3438697713</v>
      </c>
      <c r="K33" s="480"/>
      <c r="L33" s="481">
        <f>+'PSO WS Q Interest Rate'!E25</f>
        <v>6.7999999999999996E-3</v>
      </c>
      <c r="M33" s="482"/>
      <c r="N33" s="479">
        <f t="shared" ref="N33:N44" si="7">J33*L33</f>
        <v>-14032.754338314444</v>
      </c>
      <c r="O33" s="479"/>
      <c r="P33" s="479"/>
      <c r="Q33" s="479"/>
      <c r="R33" s="479">
        <f>SUM($D$19:D33)+SUM($N$19:N33)</f>
        <v>-2077673.0982080856</v>
      </c>
      <c r="T33" s="286">
        <v>1</v>
      </c>
    </row>
    <row r="34" spans="2:20" ht="15.5">
      <c r="B34" s="1254">
        <f t="shared" si="6"/>
        <v>45689</v>
      </c>
      <c r="C34" s="482"/>
      <c r="D34" s="479">
        <v>0</v>
      </c>
      <c r="E34" s="480"/>
      <c r="F34" s="479">
        <f>D33+F33</f>
        <v>-1984610.5605046421</v>
      </c>
      <c r="G34" s="479"/>
      <c r="H34" s="479">
        <f>$H$30+SUM($N$28:$N$30)</f>
        <v>-79029.783365129158</v>
      </c>
      <c r="I34" s="479"/>
      <c r="J34" s="479">
        <f>F34+H34</f>
        <v>-2063640.3438697713</v>
      </c>
      <c r="K34" s="480"/>
      <c r="L34" s="481">
        <f>+'PSO WS Q Interest Rate'!E26</f>
        <v>6.1999999999999998E-3</v>
      </c>
      <c r="M34" s="482"/>
      <c r="N34" s="479">
        <f t="shared" si="7"/>
        <v>-12794.570131992581</v>
      </c>
      <c r="O34" s="479"/>
      <c r="P34" s="479"/>
      <c r="Q34" s="479"/>
      <c r="R34" s="479">
        <f>SUM($D$19:D34)+SUM($N$19:N34)</f>
        <v>-2090467.6683400783</v>
      </c>
      <c r="T34" s="286">
        <v>2</v>
      </c>
    </row>
    <row r="35" spans="2:20" ht="15.5">
      <c r="B35" s="1254">
        <f t="shared" si="6"/>
        <v>45717</v>
      </c>
      <c r="C35" s="482"/>
      <c r="D35" s="479">
        <v>0</v>
      </c>
      <c r="E35" s="480"/>
      <c r="F35" s="479">
        <f t="shared" ref="F35:F43" si="8">D34+F34</f>
        <v>-1984610.5605046421</v>
      </c>
      <c r="G35" s="479"/>
      <c r="H35" s="479">
        <f>$H$30+SUM($N$28:$N$30)</f>
        <v>-79029.783365129158</v>
      </c>
      <c r="I35" s="479"/>
      <c r="J35" s="479">
        <f t="shared" ref="J35:J41" si="9">F35+H35</f>
        <v>-2063640.3438697713</v>
      </c>
      <c r="K35" s="480"/>
      <c r="L35" s="481">
        <f>+'PSO WS Q Interest Rate'!E27</f>
        <v>6.7999999999999996E-3</v>
      </c>
      <c r="M35" s="482"/>
      <c r="N35" s="479">
        <f t="shared" si="7"/>
        <v>-14032.754338314444</v>
      </c>
      <c r="O35" s="479"/>
      <c r="P35" s="479"/>
      <c r="Q35" s="479"/>
      <c r="R35" s="479">
        <f>SUM($D$19:D35)+SUM($N$19:N35)</f>
        <v>-2104500.4226783928</v>
      </c>
      <c r="T35" s="286">
        <v>3</v>
      </c>
    </row>
    <row r="36" spans="2:20" ht="15.5">
      <c r="B36" s="1254">
        <f t="shared" si="6"/>
        <v>45748</v>
      </c>
      <c r="C36" s="482"/>
      <c r="D36" s="479">
        <v>0</v>
      </c>
      <c r="E36" s="480"/>
      <c r="F36" s="479">
        <f t="shared" si="8"/>
        <v>-1984610.5605046421</v>
      </c>
      <c r="G36" s="479"/>
      <c r="H36" s="479">
        <f>$H$35+SUM($N$33:$N$35)</f>
        <v>-119889.86217375062</v>
      </c>
      <c r="I36" s="479"/>
      <c r="J36" s="479">
        <f>F36+H36</f>
        <v>-2104500.4226783928</v>
      </c>
      <c r="K36" s="480"/>
      <c r="L36" s="481">
        <f>+'PSO WS Q Interest Rate'!E28</f>
        <v>6.1999999999999998E-3</v>
      </c>
      <c r="M36" s="482"/>
      <c r="N36" s="479">
        <f t="shared" si="7"/>
        <v>-13047.902620606035</v>
      </c>
      <c r="O36" s="479"/>
      <c r="P36" s="479"/>
      <c r="Q36" s="479"/>
      <c r="R36" s="479">
        <f>SUM($D$19:D36)+SUM($N$19:N36)</f>
        <v>-2117548.3252989985</v>
      </c>
      <c r="T36" s="286">
        <v>4</v>
      </c>
    </row>
    <row r="37" spans="2:20" ht="15.5">
      <c r="B37" s="1254">
        <f t="shared" si="6"/>
        <v>45778</v>
      </c>
      <c r="C37" s="482"/>
      <c r="D37" s="479">
        <v>0</v>
      </c>
      <c r="E37" s="480"/>
      <c r="F37" s="479">
        <f t="shared" si="8"/>
        <v>-1984610.5605046421</v>
      </c>
      <c r="G37" s="479"/>
      <c r="H37" s="479">
        <f>$H$35+SUM($N$33:$N$35)</f>
        <v>-119889.86217375062</v>
      </c>
      <c r="I37" s="479"/>
      <c r="J37" s="479">
        <f t="shared" si="9"/>
        <v>-2104500.4226783928</v>
      </c>
      <c r="K37" s="480"/>
      <c r="L37" s="481">
        <f>+'PSO WS Q Interest Rate'!E29</f>
        <v>6.4000000000000003E-3</v>
      </c>
      <c r="M37" s="482"/>
      <c r="N37" s="479">
        <f t="shared" si="7"/>
        <v>-13468.802705141716</v>
      </c>
      <c r="O37" s="479"/>
      <c r="P37" s="479"/>
      <c r="Q37" s="479"/>
      <c r="R37" s="479">
        <f>SUM($D$19:D37)+SUM($N$19:N37)</f>
        <v>-2131017.1280041402</v>
      </c>
      <c r="T37" s="286">
        <v>5</v>
      </c>
    </row>
    <row r="38" spans="2:20" ht="15.5">
      <c r="B38" s="1254">
        <f t="shared" si="6"/>
        <v>45809</v>
      </c>
      <c r="C38" s="482"/>
      <c r="D38" s="479">
        <v>0</v>
      </c>
      <c r="E38" s="480"/>
      <c r="F38" s="479">
        <f t="shared" si="8"/>
        <v>-1984610.5605046421</v>
      </c>
      <c r="G38" s="479"/>
      <c r="H38" s="479">
        <f>$H$35+SUM($N$33:$N$35)</f>
        <v>-119889.86217375062</v>
      </c>
      <c r="I38" s="479"/>
      <c r="J38" s="479">
        <f t="shared" si="9"/>
        <v>-2104500.4226783928</v>
      </c>
      <c r="K38" s="480"/>
      <c r="L38" s="481">
        <f>+'PSO WS Q Interest Rate'!E30</f>
        <v>6.1999999999999998E-3</v>
      </c>
      <c r="M38" s="482"/>
      <c r="N38" s="479">
        <f t="shared" si="7"/>
        <v>-13047.902620606035</v>
      </c>
      <c r="O38" s="479"/>
      <c r="P38" s="479"/>
      <c r="Q38" s="479"/>
      <c r="R38" s="479">
        <f>SUM($D$19:D38)+SUM($N$19:N38)</f>
        <v>-2144065.0306247463</v>
      </c>
      <c r="T38" s="286">
        <v>6</v>
      </c>
    </row>
    <row r="39" spans="2:20" ht="15.5">
      <c r="B39" s="1254">
        <f t="shared" si="6"/>
        <v>45839</v>
      </c>
      <c r="C39" s="482"/>
      <c r="D39" s="479">
        <v>0</v>
      </c>
      <c r="E39" s="480"/>
      <c r="F39" s="479">
        <f t="shared" si="8"/>
        <v>-1984610.5605046421</v>
      </c>
      <c r="G39" s="479"/>
      <c r="H39" s="479">
        <f>$H$38+SUM($N$36:$N$38)</f>
        <v>-159454.47012010441</v>
      </c>
      <c r="I39" s="479"/>
      <c r="J39" s="479">
        <f>F39+H39</f>
        <v>-2144065.0306247463</v>
      </c>
      <c r="K39" s="480"/>
      <c r="L39" s="481">
        <f>+'PSO WS Q Interest Rate'!E31</f>
        <v>6.1999999999999998E-3</v>
      </c>
      <c r="M39" s="482"/>
      <c r="N39" s="479">
        <f t="shared" si="7"/>
        <v>-13293.203189873428</v>
      </c>
      <c r="O39" s="479"/>
      <c r="P39" s="479"/>
      <c r="Q39" s="479"/>
      <c r="R39" s="479">
        <f>SUM($D$19:D39)+SUM($N$19:N39)</f>
        <v>-2157358.2338146199</v>
      </c>
      <c r="T39" s="286">
        <v>7</v>
      </c>
    </row>
    <row r="40" spans="2:20" ht="15.5">
      <c r="B40" s="1254">
        <f t="shared" si="6"/>
        <v>45870</v>
      </c>
      <c r="C40" s="482"/>
      <c r="D40" s="479">
        <v>0</v>
      </c>
      <c r="E40" s="480"/>
      <c r="F40" s="479">
        <f t="shared" si="8"/>
        <v>-1984610.5605046421</v>
      </c>
      <c r="G40" s="479"/>
      <c r="H40" s="479">
        <f>$H$38+SUM($N$36:$N$38)</f>
        <v>-159454.47012010441</v>
      </c>
      <c r="I40" s="479"/>
      <c r="J40" s="479">
        <f t="shared" si="9"/>
        <v>-2144065.0306247463</v>
      </c>
      <c r="K40" s="480"/>
      <c r="L40" s="481">
        <f>+'PSO WS Q Interest Rate'!E32</f>
        <v>6.1999999999999998E-3</v>
      </c>
      <c r="M40" s="482"/>
      <c r="N40" s="479">
        <f t="shared" si="7"/>
        <v>-13293.203189873428</v>
      </c>
      <c r="O40" s="479"/>
      <c r="P40" s="479"/>
      <c r="Q40" s="479"/>
      <c r="R40" s="479">
        <f>SUM($D$19:D40)+SUM($N$19:N40)</f>
        <v>-2170651.4370044935</v>
      </c>
      <c r="T40" s="286">
        <v>8</v>
      </c>
    </row>
    <row r="41" spans="2:20" ht="15.5">
      <c r="B41" s="1254">
        <f t="shared" si="6"/>
        <v>45901</v>
      </c>
      <c r="C41" s="482"/>
      <c r="D41" s="479">
        <v>0</v>
      </c>
      <c r="E41" s="480"/>
      <c r="F41" s="479">
        <f t="shared" si="8"/>
        <v>-1984610.5605046421</v>
      </c>
      <c r="G41" s="479"/>
      <c r="H41" s="479">
        <f>$H$38+SUM($N$36:$N$38)</f>
        <v>-159454.47012010441</v>
      </c>
      <c r="I41" s="479"/>
      <c r="J41" s="479">
        <f t="shared" si="9"/>
        <v>-2144065.0306247463</v>
      </c>
      <c r="K41" s="480"/>
      <c r="L41" s="481">
        <f>+'PSO WS Q Interest Rate'!E33</f>
        <v>6.1999999999999998E-3</v>
      </c>
      <c r="M41" s="482"/>
      <c r="N41" s="479">
        <f t="shared" si="7"/>
        <v>-13293.203189873428</v>
      </c>
      <c r="O41" s="479"/>
      <c r="P41" s="479"/>
      <c r="Q41" s="479"/>
      <c r="R41" s="479">
        <f>SUM($D$19:D41)+SUM($N$19:N41)</f>
        <v>-2183944.6401943667</v>
      </c>
      <c r="T41" s="286">
        <v>9</v>
      </c>
    </row>
    <row r="42" spans="2:20" ht="15.5">
      <c r="B42" s="1254">
        <f t="shared" si="6"/>
        <v>45931</v>
      </c>
      <c r="C42" s="482"/>
      <c r="D42" s="479">
        <v>0</v>
      </c>
      <c r="E42" s="480"/>
      <c r="F42" s="479">
        <f t="shared" si="8"/>
        <v>-1984610.5605046421</v>
      </c>
      <c r="G42" s="479"/>
      <c r="H42" s="479">
        <f>$H$41+SUM($N$39:$N$41)</f>
        <v>-199334.07968972469</v>
      </c>
      <c r="I42" s="479"/>
      <c r="J42" s="479">
        <f>F42+H42</f>
        <v>-2183944.6401943667</v>
      </c>
      <c r="K42" s="480"/>
      <c r="L42" s="481">
        <f>+'PSO WS Q Interest Rate'!E34</f>
        <v>6.1999999999999998E-3</v>
      </c>
      <c r="M42" s="482"/>
      <c r="N42" s="479">
        <f t="shared" si="7"/>
        <v>-13540.456769205073</v>
      </c>
      <c r="O42" s="479"/>
      <c r="P42" s="479"/>
      <c r="Q42" s="479"/>
      <c r="R42" s="479">
        <f>SUM($D$19:D42)+SUM($N$19:N42)</f>
        <v>-2197485.0969635719</v>
      </c>
      <c r="T42" s="286">
        <v>10</v>
      </c>
    </row>
    <row r="43" spans="2:20" ht="15.5">
      <c r="B43" s="1254">
        <f t="shared" si="6"/>
        <v>45962</v>
      </c>
      <c r="C43" s="482"/>
      <c r="D43" s="479">
        <v>0</v>
      </c>
      <c r="E43" s="480"/>
      <c r="F43" s="479">
        <f t="shared" si="8"/>
        <v>-1984610.5605046421</v>
      </c>
      <c r="G43" s="479"/>
      <c r="H43" s="479">
        <f>$H$41+SUM($N$39:$N$41)</f>
        <v>-199334.07968972469</v>
      </c>
      <c r="I43" s="479"/>
      <c r="J43" s="479">
        <f>F43+H43</f>
        <v>-2183944.6401943667</v>
      </c>
      <c r="K43" s="480"/>
      <c r="L43" s="481">
        <f>+'PSO WS Q Interest Rate'!E35</f>
        <v>6.1999999999999998E-3</v>
      </c>
      <c r="M43" s="482"/>
      <c r="N43" s="479">
        <f t="shared" si="7"/>
        <v>-13540.456769205073</v>
      </c>
      <c r="O43" s="479"/>
      <c r="P43" s="479"/>
      <c r="Q43" s="479"/>
      <c r="R43" s="479">
        <f>SUM($D$19:D43)+SUM($N$19:N43)</f>
        <v>-2211025.553732777</v>
      </c>
      <c r="T43" s="286">
        <v>11</v>
      </c>
    </row>
    <row r="44" spans="2:20" ht="15.5">
      <c r="B44" s="1254">
        <f t="shared" si="6"/>
        <v>45992</v>
      </c>
      <c r="C44" s="482"/>
      <c r="D44" s="479">
        <v>0</v>
      </c>
      <c r="E44" s="480"/>
      <c r="F44" s="479">
        <f>D43+F43</f>
        <v>-1984610.5605046421</v>
      </c>
      <c r="G44" s="479"/>
      <c r="H44" s="479">
        <f>$H$41+SUM($N$39:$N$41)</f>
        <v>-199334.07968972469</v>
      </c>
      <c r="I44" s="479"/>
      <c r="J44" s="479">
        <f>F44+H44</f>
        <v>-2183944.6401943667</v>
      </c>
      <c r="K44" s="480"/>
      <c r="L44" s="481">
        <f>+'PSO WS Q Interest Rate'!E36</f>
        <v>6.1999999999999998E-3</v>
      </c>
      <c r="M44" s="482"/>
      <c r="N44" s="479">
        <f t="shared" si="7"/>
        <v>-13540.456769205073</v>
      </c>
      <c r="O44" s="488"/>
      <c r="P44" s="479"/>
      <c r="Q44" s="479"/>
      <c r="R44" s="479">
        <f>SUM($D$19:D44)+SUM($N$19:N44)</f>
        <v>-2224566.0105019822</v>
      </c>
      <c r="T44" s="286">
        <v>12</v>
      </c>
    </row>
    <row r="45" spans="2:20" ht="15.5">
      <c r="B45" s="482"/>
      <c r="C45" s="482"/>
      <c r="D45" s="479"/>
      <c r="E45" s="1240"/>
      <c r="F45" s="479"/>
      <c r="G45" s="479"/>
      <c r="H45" s="479"/>
      <c r="I45" s="479"/>
      <c r="J45" s="479"/>
      <c r="K45" s="1240"/>
      <c r="L45" s="1241"/>
      <c r="M45" s="482"/>
      <c r="N45" s="1257"/>
      <c r="O45" s="1257"/>
      <c r="P45" s="479"/>
      <c r="Q45" s="479"/>
      <c r="R45" s="479"/>
      <c r="T45" s="1258"/>
    </row>
    <row r="46" spans="2:20" ht="15.5">
      <c r="B46" s="1259" t="s">
        <v>715</v>
      </c>
      <c r="C46" s="482"/>
      <c r="D46" s="479"/>
      <c r="E46" s="480"/>
      <c r="F46" s="479"/>
      <c r="G46" s="479"/>
      <c r="H46" s="479"/>
      <c r="I46" s="479"/>
      <c r="J46" s="479"/>
      <c r="K46" s="480"/>
      <c r="L46" s="1241"/>
      <c r="M46" s="482"/>
      <c r="N46" s="1260"/>
      <c r="O46" s="1260"/>
      <c r="P46" s="479"/>
      <c r="Q46" s="479"/>
      <c r="R46" s="479"/>
    </row>
    <row r="47" spans="2:20" ht="15.5">
      <c r="B47" s="1261" t="s">
        <v>418</v>
      </c>
      <c r="C47" s="482"/>
      <c r="D47" s="479"/>
      <c r="E47" s="480"/>
      <c r="F47" s="479"/>
      <c r="G47" s="479"/>
      <c r="H47" s="479"/>
      <c r="I47" s="479"/>
      <c r="J47" s="479"/>
      <c r="K47" s="480"/>
      <c r="L47" s="1241"/>
      <c r="M47" s="482"/>
      <c r="N47" s="1260"/>
      <c r="O47" s="1260"/>
      <c r="P47" s="479"/>
      <c r="Q47" s="479"/>
      <c r="R47" s="479"/>
    </row>
    <row r="48" spans="2:20" ht="15.5">
      <c r="B48" s="1254">
        <f t="shared" ref="B48:B59" si="10">DATE($J$11,T48,1)</f>
        <v>46023</v>
      </c>
      <c r="C48" s="482"/>
      <c r="D48" s="479">
        <v>0</v>
      </c>
      <c r="E48" s="1262"/>
      <c r="F48" s="479">
        <f>D44+F44</f>
        <v>-1984610.5605046421</v>
      </c>
      <c r="G48" s="1255"/>
      <c r="H48" s="479">
        <f>$H$44+SUM($N$42:$N$44)</f>
        <v>-239955.44999733992</v>
      </c>
      <c r="I48" s="479"/>
      <c r="J48" s="479">
        <f>F48+H48</f>
        <v>-2224566.0105019822</v>
      </c>
      <c r="K48" s="1240"/>
      <c r="L48" s="481">
        <f>+'PSO WS Q Interest Rate'!$E$39</f>
        <v>6.3166666666666649E-3</v>
      </c>
      <c r="M48" s="482"/>
      <c r="N48" s="479">
        <f t="shared" ref="N48:N59" si="11">J48*L48</f>
        <v>-14051.841966337517</v>
      </c>
      <c r="O48" s="479"/>
      <c r="P48" s="479">
        <f>PMT(L48,12,$R$44)</f>
        <v>193079.77403998145</v>
      </c>
      <c r="Q48" s="479"/>
      <c r="R48" s="479">
        <f>SUM($D$19:D48)+SUM($N$19:N48)+SUM($P$48:P48)</f>
        <v>-2045538.0784283383</v>
      </c>
      <c r="T48" s="286">
        <v>1</v>
      </c>
    </row>
    <row r="49" spans="2:20" ht="15.5">
      <c r="B49" s="1254">
        <f t="shared" si="10"/>
        <v>46054</v>
      </c>
      <c r="C49" s="482"/>
      <c r="D49" s="479">
        <v>0</v>
      </c>
      <c r="E49" s="1240"/>
      <c r="F49" s="479">
        <f>D48+F48</f>
        <v>-1984610.5605046421</v>
      </c>
      <c r="G49" s="479"/>
      <c r="H49" s="479">
        <f>$H$44+SUM($N$42:$N$44)</f>
        <v>-239955.44999733992</v>
      </c>
      <c r="I49" s="479"/>
      <c r="J49" s="479">
        <f>R48</f>
        <v>-2045538.0784283383</v>
      </c>
      <c r="K49" s="1240"/>
      <c r="L49" s="481">
        <f>+'PSO WS Q Interest Rate'!$E$39</f>
        <v>6.3166666666666649E-3</v>
      </c>
      <c r="M49" s="482"/>
      <c r="N49" s="479">
        <f t="shared" si="11"/>
        <v>-12920.982195405666</v>
      </c>
      <c r="O49" s="479"/>
      <c r="P49" s="479">
        <f t="shared" ref="P49:P59" si="12">PMT(L49,12,$R$44)</f>
        <v>193079.77403998145</v>
      </c>
      <c r="Q49" s="479"/>
      <c r="R49" s="479">
        <f>SUM($D$19:D49)+SUM($N$19:N49)+SUM($P$48:P49)</f>
        <v>-1865379.2865837622</v>
      </c>
      <c r="T49" s="286">
        <v>2</v>
      </c>
    </row>
    <row r="50" spans="2:20" ht="15.5">
      <c r="B50" s="1254">
        <f t="shared" si="10"/>
        <v>46082</v>
      </c>
      <c r="C50" s="482"/>
      <c r="D50" s="479">
        <v>0</v>
      </c>
      <c r="E50" s="1240"/>
      <c r="F50" s="479">
        <f t="shared" ref="F50:F58" si="13">D49+F49</f>
        <v>-1984610.5605046421</v>
      </c>
      <c r="G50" s="479"/>
      <c r="H50" s="479">
        <f>$H$44+SUM($N$42:$N$44)</f>
        <v>-239955.44999733992</v>
      </c>
      <c r="I50" s="479"/>
      <c r="J50" s="479">
        <f t="shared" ref="J50:J59" si="14">R49</f>
        <v>-1865379.2865837622</v>
      </c>
      <c r="K50" s="1240"/>
      <c r="L50" s="481">
        <f>+'PSO WS Q Interest Rate'!$E$39</f>
        <v>6.3166666666666649E-3</v>
      </c>
      <c r="M50" s="482"/>
      <c r="N50" s="479">
        <f t="shared" si="11"/>
        <v>-11782.979160254094</v>
      </c>
      <c r="O50" s="479"/>
      <c r="P50" s="479">
        <f t="shared" si="12"/>
        <v>193079.77403998145</v>
      </c>
      <c r="Q50" s="479"/>
      <c r="R50" s="479">
        <f>SUM($D$19:D50)+SUM($N$19:N50)+SUM($P$48:P50)</f>
        <v>-1684082.4917040351</v>
      </c>
      <c r="T50" s="286">
        <v>3</v>
      </c>
    </row>
    <row r="51" spans="2:20" ht="15.5">
      <c r="B51" s="1254">
        <f t="shared" si="10"/>
        <v>46113</v>
      </c>
      <c r="C51" s="482"/>
      <c r="D51" s="479">
        <v>0</v>
      </c>
      <c r="E51" s="1240"/>
      <c r="F51" s="479">
        <f t="shared" si="13"/>
        <v>-1984610.5605046421</v>
      </c>
      <c r="G51" s="479"/>
      <c r="H51" s="479">
        <f>$H$50+SUM($N$48:$N$50)</f>
        <v>-278711.25331933721</v>
      </c>
      <c r="I51" s="479"/>
      <c r="J51" s="479">
        <f t="shared" si="14"/>
        <v>-1684082.4917040351</v>
      </c>
      <c r="K51" s="1240"/>
      <c r="L51" s="481">
        <f>+'PSO WS Q Interest Rate'!$E$39</f>
        <v>6.3166666666666649E-3</v>
      </c>
      <c r="M51" s="482"/>
      <c r="N51" s="479">
        <f t="shared" si="11"/>
        <v>-10637.787739263818</v>
      </c>
      <c r="O51" s="479"/>
      <c r="P51" s="479">
        <f t="shared" si="12"/>
        <v>193079.77403998145</v>
      </c>
      <c r="Q51" s="479"/>
      <c r="R51" s="479">
        <f>SUM($D$19:D51)+SUM($N$19:N51)+SUM($P$48:P51)</f>
        <v>-1501640.5054033175</v>
      </c>
      <c r="T51" s="286">
        <v>4</v>
      </c>
    </row>
    <row r="52" spans="2:20" ht="15.5">
      <c r="B52" s="1254">
        <f t="shared" si="10"/>
        <v>46143</v>
      </c>
      <c r="C52" s="482"/>
      <c r="D52" s="479">
        <v>0</v>
      </c>
      <c r="E52" s="1240"/>
      <c r="F52" s="479">
        <f t="shared" si="13"/>
        <v>-1984610.5605046421</v>
      </c>
      <c r="G52" s="479"/>
      <c r="H52" s="479">
        <f>$H$50+SUM($N$48:$N$50)</f>
        <v>-278711.25331933721</v>
      </c>
      <c r="I52" s="479"/>
      <c r="J52" s="479">
        <f t="shared" si="14"/>
        <v>-1501640.5054033175</v>
      </c>
      <c r="K52" s="1240"/>
      <c r="L52" s="481">
        <f>+'PSO WS Q Interest Rate'!$E$39</f>
        <v>6.3166666666666649E-3</v>
      </c>
      <c r="M52" s="482"/>
      <c r="N52" s="479">
        <f t="shared" si="11"/>
        <v>-9485.36252579762</v>
      </c>
      <c r="O52" s="479"/>
      <c r="P52" s="479">
        <f t="shared" si="12"/>
        <v>193079.77403998145</v>
      </c>
      <c r="Q52" s="479"/>
      <c r="R52" s="479">
        <f>SUM($D$19:D52)+SUM($N$19:N52)+SUM($P$48:P52)</f>
        <v>-1318046.0938891335</v>
      </c>
      <c r="T52" s="286">
        <v>5</v>
      </c>
    </row>
    <row r="53" spans="2:20" ht="15.5">
      <c r="B53" s="1254">
        <f t="shared" si="10"/>
        <v>46174</v>
      </c>
      <c r="C53" s="18"/>
      <c r="D53" s="479">
        <v>0</v>
      </c>
      <c r="E53" s="1240"/>
      <c r="F53" s="479">
        <f t="shared" si="13"/>
        <v>-1984610.5605046421</v>
      </c>
      <c r="G53" s="479"/>
      <c r="H53" s="479">
        <f>$H$50+SUM($N$48:$N$50)</f>
        <v>-278711.25331933721</v>
      </c>
      <c r="I53" s="479"/>
      <c r="J53" s="479">
        <f t="shared" si="14"/>
        <v>-1318046.0938891335</v>
      </c>
      <c r="K53" s="1240"/>
      <c r="L53" s="481">
        <f>+'PSO WS Q Interest Rate'!$E$39</f>
        <v>6.3166666666666649E-3</v>
      </c>
      <c r="M53" s="482"/>
      <c r="N53" s="479">
        <f t="shared" si="11"/>
        <v>-8325.6578263996907</v>
      </c>
      <c r="O53" s="479"/>
      <c r="P53" s="479">
        <f t="shared" si="12"/>
        <v>193079.77403998145</v>
      </c>
      <c r="Q53" s="479"/>
      <c r="R53" s="479">
        <f>SUM($D$19:D53)+SUM($N$19:N53)+SUM($P$48:P53)</f>
        <v>-1133291.9776755518</v>
      </c>
      <c r="T53" s="286">
        <v>6</v>
      </c>
    </row>
    <row r="54" spans="2:20" ht="15.5">
      <c r="B54" s="1254">
        <f t="shared" si="10"/>
        <v>46204</v>
      </c>
      <c r="C54" s="482"/>
      <c r="D54" s="479">
        <v>0</v>
      </c>
      <c r="E54" s="1240"/>
      <c r="F54" s="479">
        <f t="shared" si="13"/>
        <v>-1984610.5605046421</v>
      </c>
      <c r="G54" s="479"/>
      <c r="H54" s="479">
        <f>$H$53+SUM($N$51:$N$53)</f>
        <v>-307160.06141079834</v>
      </c>
      <c r="I54" s="479"/>
      <c r="J54" s="479">
        <f t="shared" si="14"/>
        <v>-1133291.9776755518</v>
      </c>
      <c r="K54" s="1240"/>
      <c r="L54" s="481">
        <f>+'PSO WS Q Interest Rate'!$E$39</f>
        <v>6.3166666666666649E-3</v>
      </c>
      <c r="M54" s="482"/>
      <c r="N54" s="479">
        <f t="shared" si="11"/>
        <v>-7158.6276589838999</v>
      </c>
      <c r="O54" s="479"/>
      <c r="P54" s="479">
        <f t="shared" si="12"/>
        <v>193079.77403998145</v>
      </c>
      <c r="Q54" s="479"/>
      <c r="R54" s="479">
        <f>SUM($D$19:D54)+SUM($N$19:N54)+SUM($P$48:P54)</f>
        <v>-947370.83129455405</v>
      </c>
      <c r="T54" s="286">
        <v>7</v>
      </c>
    </row>
    <row r="55" spans="2:20" ht="15.5">
      <c r="B55" s="1254">
        <f t="shared" si="10"/>
        <v>46235</v>
      </c>
      <c r="C55" s="482"/>
      <c r="D55" s="479">
        <v>0</v>
      </c>
      <c r="E55" s="1240"/>
      <c r="F55" s="479">
        <f t="shared" si="13"/>
        <v>-1984610.5605046421</v>
      </c>
      <c r="G55" s="479"/>
      <c r="H55" s="479">
        <f>$H$53+SUM($N$51:$N$53)</f>
        <v>-307160.06141079834</v>
      </c>
      <c r="I55" s="479"/>
      <c r="J55" s="479">
        <f t="shared" si="14"/>
        <v>-947370.83129455405</v>
      </c>
      <c r="K55" s="1240"/>
      <c r="L55" s="481">
        <f>+'PSO WS Q Interest Rate'!$E$39</f>
        <v>6.3166666666666649E-3</v>
      </c>
      <c r="M55" s="482"/>
      <c r="N55" s="479">
        <f t="shared" si="11"/>
        <v>-5984.2257510105983</v>
      </c>
      <c r="O55" s="479"/>
      <c r="P55" s="479">
        <f t="shared" si="12"/>
        <v>193079.77403998145</v>
      </c>
      <c r="Q55" s="479"/>
      <c r="R55" s="479">
        <f>SUM($D$19:D55)+SUM($N$19:N55)+SUM($P$48:P55)</f>
        <v>-760275.28300558333</v>
      </c>
      <c r="T55" s="286">
        <v>8</v>
      </c>
    </row>
    <row r="56" spans="2:20" ht="15.5">
      <c r="B56" s="1254">
        <f t="shared" si="10"/>
        <v>46266</v>
      </c>
      <c r="C56" s="482"/>
      <c r="D56" s="479">
        <v>0</v>
      </c>
      <c r="E56" s="1240"/>
      <c r="F56" s="479">
        <f t="shared" si="13"/>
        <v>-1984610.5605046421</v>
      </c>
      <c r="G56" s="479"/>
      <c r="H56" s="479">
        <f>$H$53+SUM($N$51:$N$53)</f>
        <v>-307160.06141079834</v>
      </c>
      <c r="I56" s="479"/>
      <c r="J56" s="479">
        <f t="shared" si="14"/>
        <v>-760275.28300558333</v>
      </c>
      <c r="K56" s="1240"/>
      <c r="L56" s="481">
        <f>+'PSO WS Q Interest Rate'!$E$39</f>
        <v>6.3166666666666649E-3</v>
      </c>
      <c r="M56" s="482"/>
      <c r="N56" s="479">
        <f t="shared" si="11"/>
        <v>-4802.4055376519336</v>
      </c>
      <c r="O56" s="479"/>
      <c r="P56" s="479">
        <f t="shared" si="12"/>
        <v>193079.77403998145</v>
      </c>
      <c r="Q56" s="479"/>
      <c r="R56" s="479">
        <f>SUM($D$19:D56)+SUM($N$19:N56)+SUM($P$48:P56)</f>
        <v>-571997.91450325376</v>
      </c>
      <c r="T56" s="286">
        <v>9</v>
      </c>
    </row>
    <row r="57" spans="2:20" ht="15.5">
      <c r="B57" s="1254">
        <f t="shared" si="10"/>
        <v>46296</v>
      </c>
      <c r="C57" s="482"/>
      <c r="D57" s="479">
        <v>0</v>
      </c>
      <c r="E57" s="1240"/>
      <c r="F57" s="479">
        <f t="shared" si="13"/>
        <v>-1984610.5605046421</v>
      </c>
      <c r="G57" s="479"/>
      <c r="H57" s="479">
        <f>$H$56+SUM($N$54:$N$56)</f>
        <v>-325105.32035844476</v>
      </c>
      <c r="I57" s="479"/>
      <c r="J57" s="479">
        <f t="shared" si="14"/>
        <v>-571997.91450325376</v>
      </c>
      <c r="K57" s="1240"/>
      <c r="L57" s="481">
        <f>+'PSO WS Q Interest Rate'!$E$39</f>
        <v>6.3166666666666649E-3</v>
      </c>
      <c r="M57" s="482"/>
      <c r="N57" s="479">
        <f t="shared" si="11"/>
        <v>-3613.1201599455521</v>
      </c>
      <c r="O57" s="479"/>
      <c r="P57" s="479">
        <f t="shared" si="12"/>
        <v>193079.77403998145</v>
      </c>
      <c r="Q57" s="479"/>
      <c r="R57" s="479">
        <f>SUM($D$19:D57)+SUM($N$19:N57)+SUM($P$48:P57)</f>
        <v>-382531.26062321779</v>
      </c>
      <c r="T57" s="286">
        <v>10</v>
      </c>
    </row>
    <row r="58" spans="2:20" ht="15.5">
      <c r="B58" s="1254">
        <f t="shared" si="10"/>
        <v>46327</v>
      </c>
      <c r="C58" s="482"/>
      <c r="D58" s="479">
        <v>0</v>
      </c>
      <c r="E58" s="1240"/>
      <c r="F58" s="479">
        <f t="shared" si="13"/>
        <v>-1984610.5605046421</v>
      </c>
      <c r="G58" s="479"/>
      <c r="H58" s="479">
        <f>$H$56+SUM($N$54:$N$56)</f>
        <v>-325105.32035844476</v>
      </c>
      <c r="I58" s="479"/>
      <c r="J58" s="479">
        <f t="shared" si="14"/>
        <v>-382531.26062321779</v>
      </c>
      <c r="K58" s="1240"/>
      <c r="L58" s="481">
        <f>+'PSO WS Q Interest Rate'!$E$39</f>
        <v>6.3166666666666649E-3</v>
      </c>
      <c r="M58" s="482"/>
      <c r="N58" s="479">
        <f t="shared" si="11"/>
        <v>-2416.3224629366582</v>
      </c>
      <c r="O58" s="479"/>
      <c r="P58" s="479">
        <f t="shared" si="12"/>
        <v>193079.77403998145</v>
      </c>
      <c r="Q58" s="479"/>
      <c r="R58" s="479">
        <f>SUM($D$19:D58)+SUM($N$19:N58)+SUM($P$48:P58)</f>
        <v>-191867.809046173</v>
      </c>
      <c r="S58" s="1263"/>
      <c r="T58" s="286">
        <v>11</v>
      </c>
    </row>
    <row r="59" spans="2:20" ht="16" thickBot="1">
      <c r="B59" s="1264">
        <f t="shared" si="10"/>
        <v>46357</v>
      </c>
      <c r="C59" s="486"/>
      <c r="D59" s="483">
        <v>0</v>
      </c>
      <c r="E59" s="1242"/>
      <c r="F59" s="483">
        <f>D58+F58</f>
        <v>-1984610.5605046421</v>
      </c>
      <c r="G59" s="483"/>
      <c r="H59" s="483">
        <f>$H$56+SUM($N$54:$N$56)</f>
        <v>-325105.32035844476</v>
      </c>
      <c r="I59" s="483"/>
      <c r="J59" s="483">
        <f t="shared" si="14"/>
        <v>-191867.809046173</v>
      </c>
      <c r="K59" s="1242"/>
      <c r="L59" s="485">
        <f>+'PSO WS Q Interest Rate'!$E$39</f>
        <v>6.3166666666666649E-3</v>
      </c>
      <c r="M59" s="486"/>
      <c r="N59" s="483">
        <f t="shared" si="11"/>
        <v>-1211.9649938083257</v>
      </c>
      <c r="O59" s="483"/>
      <c r="P59" s="483">
        <f t="shared" si="12"/>
        <v>193079.77403998145</v>
      </c>
      <c r="Q59" s="483"/>
      <c r="R59" s="483">
        <f>SUM($D$19:D59)+SUM($N$19:N59)+SUM($P$48:P59)</f>
        <v>0</v>
      </c>
      <c r="T59" s="286">
        <v>12</v>
      </c>
    </row>
    <row r="60" spans="2:20" ht="15.5">
      <c r="B60" s="482"/>
      <c r="C60" s="482"/>
      <c r="D60" s="1240"/>
      <c r="E60" s="1240"/>
      <c r="F60" s="1240"/>
      <c r="G60" s="1240"/>
      <c r="H60" s="1240"/>
      <c r="I60" s="1240"/>
      <c r="J60" s="1240"/>
      <c r="K60" s="1240"/>
      <c r="L60" s="482"/>
      <c r="M60" s="482"/>
      <c r="N60" s="479"/>
      <c r="O60" s="479"/>
      <c r="P60" s="479"/>
      <c r="Q60" s="479"/>
      <c r="R60" s="479"/>
    </row>
    <row r="61" spans="2:20" ht="15.5">
      <c r="B61" s="18"/>
      <c r="C61" s="18"/>
      <c r="D61" s="18"/>
      <c r="E61" s="18"/>
      <c r="F61" s="18"/>
      <c r="G61" s="18"/>
      <c r="H61" s="18"/>
      <c r="I61" s="18"/>
      <c r="J61" s="18"/>
      <c r="K61" s="18"/>
      <c r="L61" s="18"/>
      <c r="M61" s="18"/>
      <c r="N61" s="1256"/>
      <c r="O61" s="1256"/>
      <c r="P61" s="1256"/>
      <c r="Q61" s="1256"/>
      <c r="R61" s="1256"/>
    </row>
    <row r="62" spans="2:20" ht="15.5">
      <c r="B62" s="1265" t="s">
        <v>716</v>
      </c>
      <c r="C62" s="1266"/>
      <c r="D62" s="1266"/>
      <c r="E62" s="1266"/>
      <c r="F62" s="1266"/>
      <c r="G62" s="1266"/>
      <c r="H62" s="1266"/>
      <c r="I62" s="1266"/>
      <c r="J62" s="1266"/>
      <c r="K62" s="1266"/>
      <c r="L62" s="1266"/>
      <c r="M62" s="1266"/>
      <c r="N62" s="1267"/>
      <c r="O62" s="1267"/>
      <c r="P62" s="487">
        <f>(SUM(P48:P59)*-1)</f>
        <v>-2316957.2884797775</v>
      </c>
      <c r="Q62" s="1256"/>
      <c r="R62" s="1256"/>
    </row>
    <row r="63" spans="2:20" ht="15.5">
      <c r="B63" s="482" t="s">
        <v>717</v>
      </c>
      <c r="C63" s="18"/>
      <c r="D63" s="18"/>
      <c r="E63" s="18"/>
      <c r="F63" s="18"/>
      <c r="G63" s="18"/>
      <c r="H63" s="18"/>
      <c r="I63" s="18"/>
      <c r="J63" s="18"/>
      <c r="K63" s="18"/>
      <c r="L63" s="18"/>
      <c r="M63" s="18"/>
      <c r="N63" s="1268"/>
      <c r="O63" s="1268"/>
      <c r="P63" s="488">
        <f>+F11</f>
        <v>-1984610.5605046423</v>
      </c>
      <c r="Q63" s="1256"/>
      <c r="R63" s="1256"/>
    </row>
    <row r="64" spans="2:20" ht="15.5">
      <c r="B64" s="1269" t="s">
        <v>718</v>
      </c>
      <c r="C64" s="1270"/>
      <c r="D64" s="1270"/>
      <c r="E64" s="1270"/>
      <c r="F64" s="1270"/>
      <c r="G64" s="1270"/>
      <c r="H64" s="1270"/>
      <c r="I64" s="1270"/>
      <c r="J64" s="1270"/>
      <c r="K64" s="1270"/>
      <c r="L64" s="1270"/>
      <c r="M64" s="1270"/>
      <c r="N64" s="1271"/>
      <c r="O64" s="1271"/>
      <c r="P64" s="489">
        <f>+(P62-P63)</f>
        <v>-332346.7279751352</v>
      </c>
      <c r="Q64" s="1256"/>
      <c r="R64" s="1256"/>
    </row>
    <row r="66" spans="2:18" ht="15.75" customHeight="1">
      <c r="B66" s="2380" t="s">
        <v>945</v>
      </c>
      <c r="C66" s="2380"/>
      <c r="D66" s="2380"/>
      <c r="E66" s="2380"/>
      <c r="F66" s="2380"/>
      <c r="G66" s="2380"/>
      <c r="H66" s="2380"/>
      <c r="I66" s="2380"/>
      <c r="J66" s="2380"/>
      <c r="K66" s="2380"/>
      <c r="L66" s="2380"/>
      <c r="M66" s="2380"/>
      <c r="N66" s="2380"/>
      <c r="O66" s="2380"/>
      <c r="P66" s="2380"/>
      <c r="Q66" s="1272"/>
      <c r="R66" s="1272"/>
    </row>
    <row r="67" spans="2:18" ht="12.75" customHeight="1">
      <c r="B67" s="2380"/>
      <c r="C67" s="2380"/>
      <c r="D67" s="2380"/>
      <c r="E67" s="2380"/>
      <c r="F67" s="2380"/>
      <c r="G67" s="2380"/>
      <c r="H67" s="2380"/>
      <c r="I67" s="2380"/>
      <c r="J67" s="2380"/>
      <c r="K67" s="2380"/>
      <c r="L67" s="2380"/>
      <c r="M67" s="2380"/>
      <c r="N67" s="2380"/>
      <c r="O67" s="2380"/>
      <c r="P67" s="2380"/>
    </row>
    <row r="68" spans="2:18" ht="38.25" customHeight="1">
      <c r="B68" s="2380"/>
      <c r="C68" s="2380"/>
      <c r="D68" s="2380"/>
      <c r="E68" s="2380"/>
      <c r="F68" s="2380"/>
      <c r="G68" s="2380"/>
      <c r="H68" s="2380"/>
      <c r="I68" s="2380"/>
      <c r="J68" s="2380"/>
      <c r="K68" s="2380"/>
      <c r="L68" s="2380"/>
      <c r="M68" s="2380"/>
      <c r="N68" s="2380"/>
      <c r="O68" s="2380"/>
      <c r="P68" s="2380"/>
      <c r="Q68" s="1273"/>
      <c r="R68" s="1273"/>
    </row>
    <row r="70" spans="2:18" ht="22.5" customHeight="1">
      <c r="B70" s="2377" t="s">
        <v>946</v>
      </c>
      <c r="C70" s="2377"/>
      <c r="D70" s="2377"/>
      <c r="E70" s="2377"/>
      <c r="F70" s="2377"/>
      <c r="G70" s="2377"/>
      <c r="H70" s="2377"/>
      <c r="I70" s="2377"/>
      <c r="J70" s="2377"/>
      <c r="K70" s="2377"/>
      <c r="L70" s="2377"/>
      <c r="M70" s="2377"/>
      <c r="N70" s="2377"/>
      <c r="O70" s="2377"/>
      <c r="P70" s="2377"/>
    </row>
    <row r="73" spans="2:18" ht="15.5">
      <c r="B73" s="1250"/>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70"/>
  <sheetViews>
    <sheetView zoomScaleNormal="100" workbookViewId="0">
      <selection activeCell="D13" sqref="D13"/>
    </sheetView>
  </sheetViews>
  <sheetFormatPr defaultColWidth="9.1796875" defaultRowHeight="12.5"/>
  <cols>
    <col min="1" max="1" width="1.54296875" style="286" customWidth="1"/>
    <col min="2" max="2" width="25.1796875" style="286" customWidth="1"/>
    <col min="3" max="3" width="1.54296875" style="286" customWidth="1"/>
    <col min="4" max="4" width="22.54296875" style="286" customWidth="1"/>
    <col min="5" max="5" width="1.54296875" style="286" customWidth="1"/>
    <col min="6" max="6" width="24.81640625" style="286" customWidth="1"/>
    <col min="7" max="7" width="1.54296875" style="286"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3" style="286" hidden="1" customWidth="1"/>
    <col min="19" max="19" width="9.1796875" style="286"/>
    <col min="20" max="20" width="3" style="286" bestFit="1" customWidth="1"/>
    <col min="21" max="16384" width="9.1796875" style="286"/>
  </cols>
  <sheetData>
    <row r="1" spans="1:18" ht="15.5">
      <c r="A1" s="18"/>
    </row>
    <row r="2" spans="1:18" ht="15.5">
      <c r="A2" s="342"/>
    </row>
    <row r="3" spans="1:18" ht="15.5">
      <c r="A3" s="342"/>
    </row>
    <row r="4" spans="1:18" ht="15.5">
      <c r="B4" s="2378" t="s">
        <v>644</v>
      </c>
      <c r="C4" s="2378"/>
      <c r="D4" s="2378"/>
      <c r="E4" s="2378"/>
      <c r="F4" s="2378"/>
      <c r="G4" s="2378"/>
      <c r="H4" s="2378"/>
      <c r="I4" s="2378"/>
      <c r="J4" s="2378"/>
      <c r="K4" s="2378"/>
      <c r="L4" s="2378"/>
      <c r="M4" s="2378"/>
      <c r="N4" s="2378"/>
      <c r="O4" s="2378"/>
      <c r="P4" s="2378"/>
    </row>
    <row r="5" spans="1:18" ht="15.5">
      <c r="B5" s="2379" t="str">
        <f>+'PSO WS A-1 - Plant'!A3</f>
        <v xml:space="preserve">Actual / Projected 2024 Rate Year Cost of Service Formula Rate </v>
      </c>
      <c r="C5" s="2379"/>
      <c r="D5" s="2379"/>
      <c r="E5" s="2379"/>
      <c r="F5" s="2379"/>
      <c r="G5" s="2379"/>
      <c r="H5" s="2379"/>
      <c r="I5" s="2379"/>
      <c r="J5" s="2379"/>
      <c r="K5" s="2379"/>
      <c r="L5" s="2379"/>
      <c r="M5" s="2379"/>
      <c r="N5" s="2379"/>
      <c r="O5" s="2379"/>
      <c r="P5" s="2379"/>
    </row>
    <row r="6" spans="1:18" ht="15.5">
      <c r="B6" s="2379" t="s">
        <v>719</v>
      </c>
      <c r="C6" s="2379"/>
      <c r="D6" s="2379"/>
      <c r="E6" s="2379"/>
      <c r="F6" s="2379"/>
      <c r="G6" s="2379"/>
      <c r="H6" s="2379"/>
      <c r="I6" s="2379"/>
      <c r="J6" s="2379"/>
      <c r="K6" s="2379"/>
      <c r="L6" s="2379"/>
      <c r="M6" s="2379"/>
      <c r="N6" s="2379"/>
      <c r="O6" s="2379"/>
      <c r="P6" s="2379"/>
    </row>
    <row r="7" spans="1:18" ht="15.5">
      <c r="B7" s="2340" t="str">
        <f>+'PSO TCOS'!F8</f>
        <v>PUBLIC SERVICE COMPANY OF OKLAHOMA</v>
      </c>
      <c r="C7" s="2340"/>
      <c r="D7" s="2340"/>
      <c r="E7" s="2340"/>
      <c r="F7" s="2340"/>
      <c r="G7" s="2340"/>
      <c r="H7" s="2340"/>
      <c r="I7" s="2340"/>
      <c r="J7" s="2340"/>
      <c r="K7" s="2340"/>
      <c r="L7" s="2340"/>
      <c r="M7" s="2340"/>
      <c r="N7" s="2340"/>
      <c r="O7" s="2340"/>
      <c r="P7" s="2340"/>
      <c r="Q7" s="1274"/>
      <c r="R7" s="1274"/>
    </row>
    <row r="10" spans="1:18" ht="16" thickBot="1">
      <c r="E10" s="482"/>
      <c r="F10" s="482"/>
      <c r="G10" s="482"/>
      <c r="H10" s="482"/>
      <c r="I10" s="482"/>
      <c r="J10" s="482"/>
      <c r="K10" s="482"/>
      <c r="O10" s="482"/>
      <c r="P10" s="482"/>
    </row>
    <row r="11" spans="1:18" ht="51">
      <c r="B11" s="1230" t="str">
        <f>"True up Revenue Requirement For Year "&amp;J11&amp;" Available May, "&amp;J12</f>
        <v>True up Revenue Requirement For Year 2024 Available May, 2025</v>
      </c>
      <c r="C11" s="482"/>
      <c r="D11" s="1230" t="s">
        <v>969</v>
      </c>
      <c r="E11" s="1231"/>
      <c r="F11" s="1232" t="s">
        <v>699</v>
      </c>
      <c r="G11" s="18"/>
      <c r="H11" s="1233" t="s">
        <v>700</v>
      </c>
      <c r="I11" s="482"/>
      <c r="J11" s="1234">
        <f>+'PSO TCOS'!N2</f>
        <v>2024</v>
      </c>
      <c r="K11" s="482"/>
      <c r="O11" s="18"/>
      <c r="P11" s="18"/>
    </row>
    <row r="12" spans="1:18" ht="15.5">
      <c r="B12" s="1235" t="s">
        <v>254</v>
      </c>
      <c r="C12" s="482"/>
      <c r="D12" s="1235"/>
      <c r="E12" s="1231"/>
      <c r="F12" s="1236"/>
      <c r="G12" s="18"/>
      <c r="H12" s="1237" t="s">
        <v>701</v>
      </c>
      <c r="I12" s="1238"/>
      <c r="J12" s="354">
        <f>J11+1</f>
        <v>2025</v>
      </c>
      <c r="O12" s="18"/>
      <c r="P12" s="18"/>
    </row>
    <row r="13" spans="1:18" ht="16" thickBot="1">
      <c r="B13" s="2446">
        <v>103975622.4174573</v>
      </c>
      <c r="C13" s="491" t="s">
        <v>702</v>
      </c>
      <c r="D13" s="2446">
        <v>104906530</v>
      </c>
      <c r="E13" s="492" t="s">
        <v>703</v>
      </c>
      <c r="F13" s="493">
        <f>IF(B13=0,0,D13-B13)</f>
        <v>930907.58254270256</v>
      </c>
      <c r="G13" s="1239"/>
      <c r="H13" s="1233" t="s">
        <v>704</v>
      </c>
      <c r="I13" s="1240"/>
      <c r="J13" s="1241">
        <f>J12+1</f>
        <v>2026</v>
      </c>
      <c r="O13" s="18"/>
      <c r="P13" s="18"/>
    </row>
    <row r="14" spans="1:18" ht="15.5">
      <c r="B14" s="1240"/>
      <c r="C14" s="1241"/>
      <c r="D14" s="1240"/>
      <c r="E14" s="1240"/>
      <c r="F14" s="1240"/>
      <c r="G14" s="1240"/>
      <c r="H14" s="18"/>
      <c r="I14" s="18"/>
      <c r="O14" s="18"/>
      <c r="P14" s="18"/>
    </row>
    <row r="15" spans="1:18" ht="16" thickBot="1">
      <c r="B15" s="1242"/>
      <c r="C15" s="1243"/>
      <c r="D15" s="1242"/>
      <c r="E15" s="1242"/>
      <c r="F15" s="1242"/>
      <c r="G15" s="1242"/>
      <c r="H15" s="1242"/>
      <c r="I15" s="1242"/>
      <c r="J15" s="1242"/>
      <c r="K15" s="1242"/>
      <c r="L15" s="1242"/>
      <c r="M15" s="1242"/>
      <c r="N15" s="1244"/>
      <c r="O15" s="1244"/>
      <c r="P15" s="1244"/>
    </row>
    <row r="16" spans="1:18" ht="15.5">
      <c r="B16" s="1245"/>
      <c r="C16" s="1241"/>
      <c r="D16" s="1240"/>
      <c r="E16" s="1240"/>
      <c r="F16" s="1240"/>
      <c r="G16" s="1240"/>
      <c r="H16" s="1240"/>
      <c r="I16" s="1240"/>
      <c r="J16" s="1240"/>
      <c r="K16" s="1240"/>
      <c r="L16" s="1240"/>
      <c r="M16" s="1240"/>
      <c r="N16" s="18"/>
      <c r="O16" s="18"/>
      <c r="P16" s="18"/>
    </row>
    <row r="17" spans="2:18" ht="62">
      <c r="B17" s="1246" t="s">
        <v>705</v>
      </c>
      <c r="C17" s="1241"/>
      <c r="D17" s="1246" t="s">
        <v>706</v>
      </c>
      <c r="E17" s="1246"/>
      <c r="F17" s="1246" t="s">
        <v>707</v>
      </c>
      <c r="G17" s="1246"/>
      <c r="H17" s="1246" t="s">
        <v>708</v>
      </c>
      <c r="I17" s="1240"/>
      <c r="J17" s="1247" t="s">
        <v>709</v>
      </c>
      <c r="K17" s="1240"/>
      <c r="L17" s="1246" t="s">
        <v>948</v>
      </c>
      <c r="M17" s="1248"/>
      <c r="N17" s="1247" t="s">
        <v>710</v>
      </c>
      <c r="O17" s="1249"/>
      <c r="P17" s="1246" t="s">
        <v>712</v>
      </c>
    </row>
    <row r="18" spans="2:18" ht="15.5">
      <c r="B18" s="1250"/>
      <c r="C18" s="1241"/>
      <c r="D18" s="18"/>
      <c r="E18" s="18"/>
      <c r="F18" s="18"/>
      <c r="G18" s="18"/>
      <c r="H18" s="18"/>
      <c r="I18" s="1251"/>
      <c r="J18" s="1251"/>
      <c r="K18" s="1251"/>
      <c r="N18" s="18"/>
      <c r="O18" s="18"/>
      <c r="P18" s="18"/>
    </row>
    <row r="19" spans="2:18" ht="15.5">
      <c r="B19" s="1275" t="s">
        <v>713</v>
      </c>
      <c r="C19" s="1241"/>
      <c r="D19" s="1241"/>
      <c r="E19" s="1241"/>
      <c r="F19" s="1241"/>
      <c r="G19" s="1241"/>
      <c r="H19" s="1241"/>
      <c r="I19" s="1241"/>
      <c r="J19" s="1241"/>
      <c r="K19" s="1241"/>
      <c r="L19" s="18"/>
      <c r="M19" s="18"/>
      <c r="N19" s="1248"/>
      <c r="O19" s="1241"/>
      <c r="P19" s="1241"/>
    </row>
    <row r="20" spans="2:18" ht="15.5">
      <c r="B20" s="1253" t="s">
        <v>127</v>
      </c>
      <c r="C20" s="1241"/>
      <c r="D20" s="1241"/>
      <c r="E20" s="1241"/>
      <c r="F20" s="1241"/>
      <c r="G20" s="1241"/>
      <c r="H20" s="1241"/>
      <c r="I20" s="1241"/>
      <c r="J20" s="1241"/>
      <c r="K20" s="1241"/>
      <c r="L20" s="18"/>
      <c r="M20" s="18"/>
      <c r="N20" s="1248"/>
      <c r="O20" s="1241"/>
      <c r="P20" s="1241"/>
    </row>
    <row r="21" spans="2:18" ht="15.5">
      <c r="B21" s="1254">
        <f t="shared" ref="B21:B32" si="0">DATE($J$11,R21,1)</f>
        <v>45292</v>
      </c>
      <c r="C21" s="482"/>
      <c r="D21" s="479">
        <f>F13/12</f>
        <v>77575.631878558546</v>
      </c>
      <c r="E21" s="480"/>
      <c r="F21" s="479">
        <v>0</v>
      </c>
      <c r="G21" s="479"/>
      <c r="H21" s="479">
        <v>0</v>
      </c>
      <c r="I21" s="479"/>
      <c r="J21" s="479">
        <f>F21+H21</f>
        <v>0</v>
      </c>
      <c r="K21" s="480"/>
      <c r="L21" s="481">
        <f>+'PSO WS Q Interest Rate'!E13</f>
        <v>7.1999999999999998E-3</v>
      </c>
      <c r="M21" s="482"/>
      <c r="N21" s="479">
        <f t="shared" ref="N21:N32" si="1">J21*L21</f>
        <v>0</v>
      </c>
      <c r="O21" s="479"/>
      <c r="P21" s="479">
        <f>D21+N21</f>
        <v>77575.631878558546</v>
      </c>
      <c r="R21" s="286">
        <v>1</v>
      </c>
    </row>
    <row r="22" spans="2:18" ht="15.5">
      <c r="B22" s="1254">
        <f t="shared" si="0"/>
        <v>45323</v>
      </c>
      <c r="C22" s="482"/>
      <c r="D22" s="479">
        <f>+D21</f>
        <v>77575.631878558546</v>
      </c>
      <c r="E22" s="480"/>
      <c r="F22" s="479">
        <f>D21</f>
        <v>77575.631878558546</v>
      </c>
      <c r="G22" s="479"/>
      <c r="H22" s="479">
        <v>0</v>
      </c>
      <c r="I22" s="479"/>
      <c r="J22" s="479">
        <f t="shared" ref="J22:J31" si="2">F22+H22</f>
        <v>77575.631878558546</v>
      </c>
      <c r="K22" s="480"/>
      <c r="L22" s="481">
        <f>+'PSO WS Q Interest Rate'!E14</f>
        <v>6.7999999999999996E-3</v>
      </c>
      <c r="M22" s="482"/>
      <c r="N22" s="479">
        <f t="shared" si="1"/>
        <v>527.5142967741981</v>
      </c>
      <c r="O22" s="479"/>
      <c r="P22" s="479">
        <f>SUM($D$21:D22)+SUM($N$21:N22)</f>
        <v>155678.77805389129</v>
      </c>
      <c r="R22" s="286">
        <v>2</v>
      </c>
    </row>
    <row r="23" spans="2:18" ht="15.5">
      <c r="B23" s="1254">
        <f t="shared" si="0"/>
        <v>45352</v>
      </c>
      <c r="C23" s="482"/>
      <c r="D23" s="479">
        <f>+D22</f>
        <v>77575.631878558546</v>
      </c>
      <c r="E23" s="480"/>
      <c r="F23" s="479">
        <f>D22+F22</f>
        <v>155151.26375711709</v>
      </c>
      <c r="G23" s="479"/>
      <c r="H23" s="479">
        <v>0</v>
      </c>
      <c r="I23" s="479"/>
      <c r="J23" s="479">
        <f t="shared" si="2"/>
        <v>155151.26375711709</v>
      </c>
      <c r="K23" s="480"/>
      <c r="L23" s="481">
        <f>+'PSO WS Q Interest Rate'!E15</f>
        <v>7.1999999999999998E-3</v>
      </c>
      <c r="M23" s="482"/>
      <c r="N23" s="479">
        <f t="shared" si="1"/>
        <v>1117.089099051243</v>
      </c>
      <c r="O23" s="479"/>
      <c r="P23" s="479">
        <f>SUM($D$21:D23)+SUM($N$21:N23)</f>
        <v>234371.49903150107</v>
      </c>
      <c r="R23" s="286">
        <v>3</v>
      </c>
    </row>
    <row r="24" spans="2:18" ht="15.5">
      <c r="B24" s="1254">
        <f t="shared" si="0"/>
        <v>45383</v>
      </c>
      <c r="C24" s="482"/>
      <c r="D24" s="479">
        <f>+D23</f>
        <v>77575.631878558546</v>
      </c>
      <c r="E24" s="480"/>
      <c r="F24" s="479">
        <f t="shared" ref="F24:F30" si="3">D23+F23</f>
        <v>232726.89563567564</v>
      </c>
      <c r="G24" s="479"/>
      <c r="H24" s="479">
        <f>SUM($N$21:$N$23)</f>
        <v>1644.6033958254411</v>
      </c>
      <c r="I24" s="479"/>
      <c r="J24" s="479">
        <f t="shared" si="2"/>
        <v>234371.49903150107</v>
      </c>
      <c r="K24" s="480"/>
      <c r="L24" s="481">
        <f>+'PSO WS Q Interest Rate'!E16</f>
        <v>7.0000000000000001E-3</v>
      </c>
      <c r="M24" s="482"/>
      <c r="N24" s="479">
        <f t="shared" si="1"/>
        <v>1640.6004932205076</v>
      </c>
      <c r="O24" s="479"/>
      <c r="P24" s="479">
        <f>SUM($D$21:D24)+SUM($N$21:N24)</f>
        <v>313587.73140328011</v>
      </c>
      <c r="R24" s="286">
        <v>4</v>
      </c>
    </row>
    <row r="25" spans="2:18" ht="15.5">
      <c r="B25" s="1254">
        <f t="shared" si="0"/>
        <v>45413</v>
      </c>
      <c r="C25" s="482"/>
      <c r="D25" s="479">
        <f t="shared" ref="D25:D30" si="4">+D24</f>
        <v>77575.631878558546</v>
      </c>
      <c r="E25" s="480"/>
      <c r="F25" s="479">
        <f t="shared" si="3"/>
        <v>310302.52751423419</v>
      </c>
      <c r="G25" s="479"/>
      <c r="H25" s="479">
        <f t="shared" ref="H25:H26" si="5">SUM($N$21:$N$23)</f>
        <v>1644.6033958254411</v>
      </c>
      <c r="I25" s="479"/>
      <c r="J25" s="479">
        <f t="shared" si="2"/>
        <v>311947.13091005961</v>
      </c>
      <c r="K25" s="480"/>
      <c r="L25" s="481">
        <f>+'PSO WS Q Interest Rate'!E17</f>
        <v>7.1999999999999998E-3</v>
      </c>
      <c r="M25" s="482"/>
      <c r="N25" s="479">
        <f t="shared" si="1"/>
        <v>2246.019342552429</v>
      </c>
      <c r="O25" s="479"/>
      <c r="P25" s="479">
        <f>SUM($D$21:D25)+SUM($N$21:N25)</f>
        <v>393409.38262439112</v>
      </c>
      <c r="R25" s="286">
        <v>5</v>
      </c>
    </row>
    <row r="26" spans="2:18" ht="15.5">
      <c r="B26" s="1254">
        <f t="shared" si="0"/>
        <v>45444</v>
      </c>
      <c r="C26" s="482"/>
      <c r="D26" s="479">
        <f t="shared" si="4"/>
        <v>77575.631878558546</v>
      </c>
      <c r="E26" s="480"/>
      <c r="F26" s="479">
        <f t="shared" si="3"/>
        <v>387878.15939279273</v>
      </c>
      <c r="G26" s="479"/>
      <c r="H26" s="479">
        <f t="shared" si="5"/>
        <v>1644.6033958254411</v>
      </c>
      <c r="I26" s="479"/>
      <c r="J26" s="479">
        <f t="shared" si="2"/>
        <v>389522.76278861816</v>
      </c>
      <c r="K26" s="480"/>
      <c r="L26" s="481">
        <f>+'PSO WS Q Interest Rate'!E18</f>
        <v>7.0000000000000001E-3</v>
      </c>
      <c r="M26" s="482"/>
      <c r="N26" s="479">
        <f t="shared" si="1"/>
        <v>2726.6593395203272</v>
      </c>
      <c r="O26" s="479"/>
      <c r="P26" s="479">
        <f>SUM($D$21:D26)+SUM($N$21:N26)</f>
        <v>473711.67384246999</v>
      </c>
      <c r="R26" s="286">
        <v>6</v>
      </c>
    </row>
    <row r="27" spans="2:18" ht="15.5">
      <c r="B27" s="1254">
        <f t="shared" si="0"/>
        <v>45474</v>
      </c>
      <c r="C27" s="482"/>
      <c r="D27" s="479">
        <f t="shared" si="4"/>
        <v>77575.631878558546</v>
      </c>
      <c r="E27" s="480"/>
      <c r="F27" s="479">
        <f t="shared" si="3"/>
        <v>465453.79127135128</v>
      </c>
      <c r="G27" s="479"/>
      <c r="H27" s="479">
        <f>$H$26+SUM($N$24:$N$26)</f>
        <v>8257.8825711187055</v>
      </c>
      <c r="I27" s="479"/>
      <c r="J27" s="479">
        <f t="shared" si="2"/>
        <v>473711.67384246999</v>
      </c>
      <c r="K27" s="480"/>
      <c r="L27" s="481">
        <f>+'PSO WS Q Interest Rate'!E19</f>
        <v>7.1999999999999998E-3</v>
      </c>
      <c r="M27" s="482"/>
      <c r="N27" s="479">
        <f t="shared" si="1"/>
        <v>3410.7240516657839</v>
      </c>
      <c r="O27" s="479"/>
      <c r="P27" s="479">
        <f>SUM($D$21:D27)+SUM($N$21:N27)</f>
        <v>554698.02977269434</v>
      </c>
      <c r="R27" s="286">
        <v>7</v>
      </c>
    </row>
    <row r="28" spans="2:18" ht="15.5">
      <c r="B28" s="1254">
        <f t="shared" si="0"/>
        <v>45505</v>
      </c>
      <c r="C28" s="482"/>
      <c r="D28" s="479">
        <f t="shared" si="4"/>
        <v>77575.631878558546</v>
      </c>
      <c r="E28" s="480"/>
      <c r="F28" s="479">
        <f t="shared" si="3"/>
        <v>543029.42314990982</v>
      </c>
      <c r="G28" s="479"/>
      <c r="H28" s="479">
        <f>$H$26+SUM($N$24:$N$26)</f>
        <v>8257.8825711187055</v>
      </c>
      <c r="I28" s="479"/>
      <c r="J28" s="479">
        <f t="shared" si="2"/>
        <v>551287.30572102848</v>
      </c>
      <c r="K28" s="480"/>
      <c r="L28" s="481">
        <f>+'PSO WS Q Interest Rate'!E20</f>
        <v>7.1999999999999998E-3</v>
      </c>
      <c r="M28" s="482"/>
      <c r="N28" s="479">
        <f t="shared" si="1"/>
        <v>3969.2686011914047</v>
      </c>
      <c r="O28" s="479"/>
      <c r="P28" s="479">
        <f>SUM($D$21:D28)+SUM($N$21:N28)</f>
        <v>636242.93025244423</v>
      </c>
      <c r="R28" s="286">
        <v>8</v>
      </c>
    </row>
    <row r="29" spans="2:18" ht="15.5">
      <c r="B29" s="1254">
        <f t="shared" si="0"/>
        <v>45536</v>
      </c>
      <c r="C29" s="482"/>
      <c r="D29" s="479">
        <f t="shared" si="4"/>
        <v>77575.631878558546</v>
      </c>
      <c r="E29" s="480"/>
      <c r="F29" s="479">
        <f t="shared" si="3"/>
        <v>620605.05502846837</v>
      </c>
      <c r="G29" s="479"/>
      <c r="H29" s="479">
        <f>$H$26+SUM($N$24:$N$26)</f>
        <v>8257.8825711187055</v>
      </c>
      <c r="I29" s="479"/>
      <c r="J29" s="479">
        <f t="shared" si="2"/>
        <v>628862.93759958702</v>
      </c>
      <c r="K29" s="480"/>
      <c r="L29" s="481">
        <f>+'PSO WS Q Interest Rate'!E21</f>
        <v>7.0000000000000001E-3</v>
      </c>
      <c r="M29" s="482"/>
      <c r="N29" s="479">
        <f t="shared" si="1"/>
        <v>4402.0405631971089</v>
      </c>
      <c r="O29" s="479"/>
      <c r="P29" s="479">
        <f>SUM($D$21:D29)+SUM($N$21:N29)</f>
        <v>718220.60269419989</v>
      </c>
      <c r="R29" s="286">
        <v>9</v>
      </c>
    </row>
    <row r="30" spans="2:18" ht="15.5">
      <c r="B30" s="1254">
        <f t="shared" si="0"/>
        <v>45566</v>
      </c>
      <c r="C30" s="482"/>
      <c r="D30" s="479">
        <f t="shared" si="4"/>
        <v>77575.631878558546</v>
      </c>
      <c r="E30" s="480"/>
      <c r="F30" s="479">
        <f t="shared" si="3"/>
        <v>698180.68690702692</v>
      </c>
      <c r="G30" s="479"/>
      <c r="H30" s="479">
        <f>$H$29+SUM($N$27:$N$29)</f>
        <v>20039.915787173002</v>
      </c>
      <c r="I30" s="479"/>
      <c r="J30" s="479">
        <f t="shared" si="2"/>
        <v>718220.60269419989</v>
      </c>
      <c r="K30" s="480"/>
      <c r="L30" s="481">
        <f>+'PSO WS Q Interest Rate'!E22</f>
        <v>7.1999999999999998E-3</v>
      </c>
      <c r="M30" s="482"/>
      <c r="N30" s="479">
        <f t="shared" si="1"/>
        <v>5171.1883393982389</v>
      </c>
      <c r="O30" s="479"/>
      <c r="P30" s="479">
        <f>SUM($D$21:D30)+SUM($N$21:N30)</f>
        <v>800967.42291215668</v>
      </c>
      <c r="R30" s="286">
        <v>10</v>
      </c>
    </row>
    <row r="31" spans="2:18" ht="15.5">
      <c r="B31" s="1254">
        <f t="shared" si="0"/>
        <v>45597</v>
      </c>
      <c r="C31" s="482"/>
      <c r="D31" s="479">
        <f>+D30</f>
        <v>77575.631878558546</v>
      </c>
      <c r="E31" s="480"/>
      <c r="F31" s="479">
        <f>D30+F30</f>
        <v>775756.31878558546</v>
      </c>
      <c r="G31" s="479"/>
      <c r="H31" s="479">
        <f>$H$29+SUM($N$27:$N$29)</f>
        <v>20039.915787173002</v>
      </c>
      <c r="I31" s="479"/>
      <c r="J31" s="479">
        <f t="shared" si="2"/>
        <v>795796.23457275843</v>
      </c>
      <c r="K31" s="480"/>
      <c r="L31" s="481">
        <f>+'PSO WS Q Interest Rate'!E23</f>
        <v>7.0000000000000001E-3</v>
      </c>
      <c r="M31" s="482"/>
      <c r="N31" s="479">
        <f t="shared" si="1"/>
        <v>5570.573642009309</v>
      </c>
      <c r="O31" s="479"/>
      <c r="P31" s="479">
        <f>SUM($D$21:D31)+SUM($N$21:N31)</f>
        <v>884113.62843272451</v>
      </c>
      <c r="R31" s="286">
        <v>11</v>
      </c>
    </row>
    <row r="32" spans="2:18" ht="15.5">
      <c r="B32" s="1254">
        <f t="shared" si="0"/>
        <v>45627</v>
      </c>
      <c r="C32" s="482"/>
      <c r="D32" s="479">
        <f>+D31</f>
        <v>77575.631878558546</v>
      </c>
      <c r="E32" s="480"/>
      <c r="F32" s="479">
        <f>D31+F31</f>
        <v>853331.95066414401</v>
      </c>
      <c r="G32" s="479"/>
      <c r="H32" s="479">
        <f>$H$29+SUM($N$27:$N$29)</f>
        <v>20039.915787173002</v>
      </c>
      <c r="I32" s="479"/>
      <c r="J32" s="479">
        <f>F32+H32</f>
        <v>873371.86645131698</v>
      </c>
      <c r="K32" s="480"/>
      <c r="L32" s="481">
        <f>+'PSO WS Q Interest Rate'!E24</f>
        <v>7.1999999999999998E-3</v>
      </c>
      <c r="M32" s="482"/>
      <c r="N32" s="479">
        <f t="shared" si="1"/>
        <v>6288.2774384494824</v>
      </c>
      <c r="O32" s="479"/>
      <c r="P32" s="479">
        <f>SUM($D$21:D32)+SUM($N$21:N32)</f>
        <v>967977.53774973261</v>
      </c>
      <c r="R32" s="286">
        <v>12</v>
      </c>
    </row>
    <row r="33" spans="2:20" ht="15.5">
      <c r="B33" s="482"/>
      <c r="C33" s="482"/>
      <c r="D33" s="479"/>
      <c r="E33" s="480"/>
      <c r="F33" s="479"/>
      <c r="G33" s="479"/>
      <c r="H33" s="479"/>
      <c r="I33" s="479"/>
      <c r="J33" s="479"/>
      <c r="K33" s="480"/>
      <c r="L33" s="1241"/>
      <c r="M33" s="482"/>
      <c r="N33" s="488"/>
      <c r="O33" s="479"/>
      <c r="P33" s="1255"/>
    </row>
    <row r="34" spans="2:20" ht="15.5">
      <c r="B34" s="1253" t="s">
        <v>714</v>
      </c>
      <c r="C34" s="482"/>
      <c r="D34" s="479"/>
      <c r="E34" s="480"/>
      <c r="F34" s="479"/>
      <c r="G34" s="479"/>
      <c r="H34" s="479"/>
      <c r="I34" s="479"/>
      <c r="J34" s="479"/>
      <c r="K34" s="480"/>
      <c r="L34" s="1241"/>
      <c r="M34" s="482"/>
      <c r="N34" s="479"/>
      <c r="O34" s="479"/>
      <c r="P34" s="1256"/>
    </row>
    <row r="35" spans="2:20" ht="15.5">
      <c r="B35" s="1254">
        <f t="shared" ref="B35:B40" si="6">DATE($J$12,R35,1)</f>
        <v>45658</v>
      </c>
      <c r="C35" s="482"/>
      <c r="D35" s="479">
        <v>0</v>
      </c>
      <c r="E35" s="480"/>
      <c r="F35" s="479">
        <f>D32+F32</f>
        <v>930907.58254270256</v>
      </c>
      <c r="G35" s="479"/>
      <c r="H35" s="479">
        <f>$H$32+SUM($N$30:$N$32)</f>
        <v>37069.955207030027</v>
      </c>
      <c r="I35" s="479"/>
      <c r="J35" s="479">
        <f>F35+H35</f>
        <v>967977.53774973261</v>
      </c>
      <c r="K35" s="480"/>
      <c r="L35" s="481">
        <f>+'PSO WS Q Interest Rate'!E25</f>
        <v>6.7999999999999996E-3</v>
      </c>
      <c r="M35" s="482"/>
      <c r="N35" s="479">
        <f t="shared" ref="N35:N40" si="7">J35*L35</f>
        <v>6582.2472566981814</v>
      </c>
      <c r="O35" s="479"/>
      <c r="P35" s="479">
        <f>SUM($D$21:D35)+SUM($N$21:N35)</f>
        <v>974559.78500643081</v>
      </c>
      <c r="R35" s="286">
        <v>1</v>
      </c>
    </row>
    <row r="36" spans="2:20" ht="15.5">
      <c r="B36" s="1254">
        <f t="shared" si="6"/>
        <v>45689</v>
      </c>
      <c r="C36" s="482"/>
      <c r="D36" s="479">
        <v>0</v>
      </c>
      <c r="E36" s="480"/>
      <c r="F36" s="479">
        <f>D35+F35</f>
        <v>930907.58254270256</v>
      </c>
      <c r="G36" s="479"/>
      <c r="H36" s="479">
        <f>$H$32+SUM($N$30:$N$32)</f>
        <v>37069.955207030027</v>
      </c>
      <c r="I36" s="479"/>
      <c r="J36" s="479">
        <f>F36+H36</f>
        <v>967977.53774973261</v>
      </c>
      <c r="K36" s="480"/>
      <c r="L36" s="481">
        <f>+'PSO WS Q Interest Rate'!E26</f>
        <v>6.1999999999999998E-3</v>
      </c>
      <c r="M36" s="482"/>
      <c r="N36" s="479">
        <f t="shared" si="7"/>
        <v>6001.4607340483417</v>
      </c>
      <c r="O36" s="479"/>
      <c r="P36" s="479">
        <f>SUM($D$21:D36)+SUM($N$21:N36)</f>
        <v>980561.24574047909</v>
      </c>
      <c r="R36" s="286">
        <v>2</v>
      </c>
    </row>
    <row r="37" spans="2:20" ht="15.5">
      <c r="B37" s="1254">
        <f t="shared" si="6"/>
        <v>45717</v>
      </c>
      <c r="C37" s="482"/>
      <c r="D37" s="479">
        <v>0</v>
      </c>
      <c r="E37" s="480"/>
      <c r="F37" s="479">
        <f t="shared" ref="F37:F40" si="8">D36+F36</f>
        <v>930907.58254270256</v>
      </c>
      <c r="G37" s="479"/>
      <c r="H37" s="479">
        <f>$H$32+SUM($N$30:$N$32)</f>
        <v>37069.955207030027</v>
      </c>
      <c r="I37" s="479"/>
      <c r="J37" s="479">
        <f t="shared" ref="J37:J40" si="9">F37+H37</f>
        <v>967977.53774973261</v>
      </c>
      <c r="K37" s="480"/>
      <c r="L37" s="481">
        <f>+'PSO WS Q Interest Rate'!E27</f>
        <v>6.7999999999999996E-3</v>
      </c>
      <c r="M37" s="482"/>
      <c r="N37" s="479">
        <f t="shared" si="7"/>
        <v>6582.2472566981814</v>
      </c>
      <c r="O37" s="479"/>
      <c r="P37" s="479">
        <f>SUM($D$21:D37)+SUM($N$21:N37)</f>
        <v>987143.49299717729</v>
      </c>
      <c r="R37" s="286">
        <v>3</v>
      </c>
    </row>
    <row r="38" spans="2:20" ht="15.5">
      <c r="B38" s="1254">
        <f t="shared" si="6"/>
        <v>45748</v>
      </c>
      <c r="C38" s="482"/>
      <c r="D38" s="479">
        <v>0</v>
      </c>
      <c r="E38" s="480"/>
      <c r="F38" s="479">
        <f t="shared" si="8"/>
        <v>930907.58254270256</v>
      </c>
      <c r="G38" s="479"/>
      <c r="H38" s="479">
        <f>$H$37+SUM($N$35:$N$37)</f>
        <v>56235.910454474732</v>
      </c>
      <c r="I38" s="479"/>
      <c r="J38" s="479">
        <f>F38+H38</f>
        <v>987143.49299717729</v>
      </c>
      <c r="K38" s="480"/>
      <c r="L38" s="481">
        <f>+'PSO WS Q Interest Rate'!E28</f>
        <v>6.1999999999999998E-3</v>
      </c>
      <c r="M38" s="482"/>
      <c r="N38" s="479">
        <f t="shared" si="7"/>
        <v>6120.2896565824994</v>
      </c>
      <c r="O38" s="479"/>
      <c r="P38" s="479">
        <f>SUM($D$21:D38)+SUM($N$21:N38)</f>
        <v>993263.78265375982</v>
      </c>
      <c r="R38" s="286">
        <v>4</v>
      </c>
    </row>
    <row r="39" spans="2:20" ht="15.5">
      <c r="B39" s="1254">
        <f t="shared" si="6"/>
        <v>45778</v>
      </c>
      <c r="C39" s="482"/>
      <c r="D39" s="479">
        <v>0</v>
      </c>
      <c r="E39" s="480"/>
      <c r="F39" s="479">
        <f t="shared" si="8"/>
        <v>930907.58254270256</v>
      </c>
      <c r="G39" s="479"/>
      <c r="H39" s="479">
        <f>$H$37+SUM($N$35:$N$37)</f>
        <v>56235.910454474732</v>
      </c>
      <c r="I39" s="479"/>
      <c r="J39" s="479">
        <f t="shared" si="9"/>
        <v>987143.49299717729</v>
      </c>
      <c r="K39" s="480"/>
      <c r="L39" s="481">
        <f>+'PSO WS Q Interest Rate'!E29</f>
        <v>6.4000000000000003E-3</v>
      </c>
      <c r="M39" s="482"/>
      <c r="N39" s="479">
        <f t="shared" si="7"/>
        <v>6317.7183551819353</v>
      </c>
      <c r="O39" s="479"/>
      <c r="P39" s="479">
        <f>SUM($D$21:D39)+SUM($N$21:N39)</f>
        <v>999581.50100894179</v>
      </c>
      <c r="R39" s="286">
        <v>5</v>
      </c>
    </row>
    <row r="40" spans="2:20" ht="16" thickBot="1">
      <c r="B40" s="1264">
        <f t="shared" si="6"/>
        <v>45809</v>
      </c>
      <c r="C40" s="486"/>
      <c r="D40" s="483">
        <v>0</v>
      </c>
      <c r="E40" s="484"/>
      <c r="F40" s="483">
        <f t="shared" si="8"/>
        <v>930907.58254270256</v>
      </c>
      <c r="G40" s="483"/>
      <c r="H40" s="483">
        <f>$H$37+SUM($N$35:$N$37)</f>
        <v>56235.910454474732</v>
      </c>
      <c r="I40" s="483"/>
      <c r="J40" s="483">
        <f t="shared" si="9"/>
        <v>987143.49299717729</v>
      </c>
      <c r="K40" s="484"/>
      <c r="L40" s="485">
        <f>+'PSO WS Q Interest Rate'!E30</f>
        <v>6.1999999999999998E-3</v>
      </c>
      <c r="M40" s="486"/>
      <c r="N40" s="483">
        <f t="shared" si="7"/>
        <v>6120.2896565824994</v>
      </c>
      <c r="O40" s="483"/>
      <c r="P40" s="483">
        <f>SUM($D$21:D40)+SUM($N$21:N40)</f>
        <v>1005701.7906655242</v>
      </c>
      <c r="R40" s="286">
        <v>6</v>
      </c>
    </row>
    <row r="41" spans="2:20" ht="15.5">
      <c r="B41" s="482"/>
      <c r="C41" s="482"/>
      <c r="D41" s="1240"/>
      <c r="E41" s="1240"/>
      <c r="F41" s="1240"/>
      <c r="G41" s="1240"/>
      <c r="H41" s="1240"/>
      <c r="I41" s="1240"/>
      <c r="J41" s="1240"/>
      <c r="K41" s="1240"/>
      <c r="L41" s="482"/>
      <c r="M41" s="482"/>
      <c r="N41" s="479"/>
      <c r="O41" s="479"/>
      <c r="P41" s="479"/>
    </row>
    <row r="42" spans="2:20" ht="15.5">
      <c r="B42" s="18"/>
      <c r="C42" s="18"/>
      <c r="D42" s="18"/>
      <c r="E42" s="18"/>
      <c r="F42" s="18"/>
      <c r="G42" s="18"/>
      <c r="H42" s="18"/>
      <c r="I42" s="18"/>
      <c r="J42" s="18"/>
      <c r="K42" s="18"/>
      <c r="L42" s="18"/>
      <c r="M42" s="18"/>
      <c r="N42" s="1256"/>
      <c r="O42" s="1256"/>
      <c r="P42" s="1256"/>
    </row>
    <row r="43" spans="2:20" ht="15.5">
      <c r="B43" s="1265" t="s">
        <v>716</v>
      </c>
      <c r="C43" s="1266"/>
      <c r="D43" s="1266"/>
      <c r="E43" s="1266"/>
      <c r="F43" s="1266"/>
      <c r="G43" s="1266"/>
      <c r="H43" s="1266"/>
      <c r="I43" s="1266"/>
      <c r="J43" s="1266"/>
      <c r="K43" s="1266"/>
      <c r="L43" s="1266"/>
      <c r="M43" s="1266"/>
      <c r="N43" s="1276"/>
      <c r="O43" s="1267"/>
      <c r="P43" s="487">
        <f>P40</f>
        <v>1005701.7906655242</v>
      </c>
    </row>
    <row r="44" spans="2:20" ht="15.5">
      <c r="B44" s="482" t="s">
        <v>717</v>
      </c>
      <c r="C44" s="18"/>
      <c r="D44" s="18"/>
      <c r="E44" s="18"/>
      <c r="F44" s="18"/>
      <c r="G44" s="18"/>
      <c r="H44" s="18"/>
      <c r="I44" s="18"/>
      <c r="J44" s="18"/>
      <c r="K44" s="18"/>
      <c r="L44" s="18"/>
      <c r="M44" s="18"/>
      <c r="O44" s="1268"/>
      <c r="P44" s="488">
        <f>+F13</f>
        <v>930907.58254270256</v>
      </c>
    </row>
    <row r="45" spans="2:20" ht="15.5">
      <c r="B45" s="1269" t="s">
        <v>718</v>
      </c>
      <c r="C45" s="1270"/>
      <c r="D45" s="1270"/>
      <c r="E45" s="1270"/>
      <c r="F45" s="1270"/>
      <c r="G45" s="1270"/>
      <c r="H45" s="1270"/>
      <c r="I45" s="1270"/>
      <c r="J45" s="1270"/>
      <c r="K45" s="1270"/>
      <c r="L45" s="1270"/>
      <c r="M45" s="1270"/>
      <c r="N45" s="1277"/>
      <c r="O45" s="1271"/>
      <c r="P45" s="489">
        <f>P43-P44</f>
        <v>74794.208122821641</v>
      </c>
    </row>
    <row r="47" spans="2:20" ht="15.5">
      <c r="B47" s="2377" t="s">
        <v>940</v>
      </c>
      <c r="C47" s="2377"/>
      <c r="D47" s="2377"/>
      <c r="E47" s="2377"/>
      <c r="F47" s="2377"/>
      <c r="G47" s="2377"/>
      <c r="H47" s="2377"/>
      <c r="I47" s="2377"/>
      <c r="J47" s="2377"/>
      <c r="K47" s="2377"/>
      <c r="L47" s="2377"/>
      <c r="M47" s="2377"/>
      <c r="N47" s="2377"/>
      <c r="O47" s="1272"/>
      <c r="P47" s="1272"/>
      <c r="T47" s="1258"/>
    </row>
    <row r="48" spans="2:20" ht="17.25" customHeight="1">
      <c r="B48" s="2377"/>
      <c r="C48" s="2377"/>
      <c r="D48" s="2377"/>
      <c r="E48" s="2377"/>
      <c r="F48" s="2377"/>
      <c r="G48" s="2377"/>
      <c r="H48" s="2377"/>
      <c r="I48" s="2377"/>
      <c r="J48" s="2377"/>
      <c r="K48" s="2377"/>
      <c r="L48" s="2377"/>
      <c r="M48" s="2377"/>
      <c r="N48" s="2377"/>
    </row>
    <row r="50" spans="2:14">
      <c r="B50" s="2377" t="s">
        <v>942</v>
      </c>
      <c r="C50" s="2377"/>
      <c r="D50" s="2377"/>
      <c r="E50" s="2377"/>
      <c r="F50" s="2377"/>
      <c r="G50" s="2377"/>
      <c r="H50" s="2377"/>
      <c r="I50" s="2377"/>
      <c r="J50" s="2377"/>
      <c r="K50" s="2377"/>
      <c r="L50" s="2377"/>
      <c r="M50" s="2377"/>
      <c r="N50" s="2377"/>
    </row>
    <row r="51" spans="2:14" ht="21.75" customHeight="1">
      <c r="B51" s="2377"/>
      <c r="C51" s="2377"/>
      <c r="D51" s="2377"/>
      <c r="E51" s="2377"/>
      <c r="F51" s="2377"/>
      <c r="G51" s="2377"/>
      <c r="H51" s="2377"/>
      <c r="I51" s="2377"/>
      <c r="J51" s="2377"/>
      <c r="K51" s="2377"/>
      <c r="L51" s="2377"/>
      <c r="M51" s="2377"/>
      <c r="N51" s="2377"/>
    </row>
    <row r="53" spans="2:14" ht="15.5">
      <c r="B53" s="1250"/>
    </row>
    <row r="68" ht="15.75" customHeight="1"/>
    <row r="69" ht="12.75" customHeight="1"/>
    <row r="70" ht="15" customHeight="1"/>
  </sheetData>
  <mergeCells count="6">
    <mergeCell ref="B50:N51"/>
    <mergeCell ref="B7:P7"/>
    <mergeCell ref="B4:P4"/>
    <mergeCell ref="B5:P5"/>
    <mergeCell ref="B6:P6"/>
    <mergeCell ref="B47:N48"/>
  </mergeCells>
  <pageMargins left="0.7" right="0.7" top="0.75" bottom="0.75" header="0.3" footer="0.3"/>
  <pageSetup scale="51" fitToHeight="0" orientation="portrait" r:id="rId1"/>
  <headerFooter>
    <oddHeader>&amp;RAEP - SPP Formula Rate
TCOS - WS O
Page: &amp;P of &amp;N</oddHead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3"/>
  <sheetViews>
    <sheetView topLeftCell="A41" zoomScaleNormal="100" zoomScaleSheetLayoutView="84" workbookViewId="0">
      <selection activeCell="N9" sqref="N9"/>
    </sheetView>
  </sheetViews>
  <sheetFormatPr defaultRowHeight="12.75" customHeight="1"/>
  <cols>
    <col min="1" max="1" width="7.453125" customWidth="1"/>
    <col min="2" max="2" width="9" customWidth="1"/>
    <col min="3" max="3" width="45.54296875" customWidth="1"/>
    <col min="4" max="4" width="9.453125" customWidth="1"/>
    <col min="5" max="5" width="13.453125" customWidth="1"/>
    <col min="6" max="6" width="11.54296875" customWidth="1"/>
    <col min="7" max="7" width="12.81640625" customWidth="1"/>
    <col min="8" max="8" width="3.453125" customWidth="1"/>
    <col min="9" max="10" width="14.81640625" customWidth="1"/>
    <col min="11" max="11" width="15.453125" customWidth="1"/>
    <col min="12" max="12" width="2.453125" customWidth="1"/>
    <col min="13" max="13" width="10.453125" customWidth="1"/>
    <col min="14" max="14" width="14.1796875" customWidth="1"/>
    <col min="15" max="16" width="14.453125" customWidth="1"/>
    <col min="17" max="17" width="13.1796875" bestFit="1" customWidth="1"/>
    <col min="18" max="18" width="21.453125" customWidth="1"/>
    <col min="19" max="19" width="2.453125" customWidth="1"/>
    <col min="20" max="20" width="17.453125" customWidth="1"/>
    <col min="21" max="21" width="12.90625" bestFit="1" customWidth="1"/>
    <col min="22" max="22" width="16.54296875" customWidth="1"/>
  </cols>
  <sheetData>
    <row r="1" spans="1:23" ht="16.5" customHeight="1">
      <c r="A1" s="211"/>
    </row>
    <row r="2" spans="1:23" ht="15.5">
      <c r="H2" s="47" t="s">
        <v>694</v>
      </c>
      <c r="U2">
        <f>+'PSO TCOS'!N2</f>
        <v>2024</v>
      </c>
    </row>
    <row r="3" spans="1:23" ht="15.5">
      <c r="H3" s="421" t="s">
        <v>693</v>
      </c>
    </row>
    <row r="4" spans="1:23" ht="15.5">
      <c r="H4" s="47" t="str">
        <f>"For Calendar Year "&amp;U2&amp;" and Projected Year "&amp;U2+1</f>
        <v>For Calendar Year 2024 and Projected Year 2025</v>
      </c>
    </row>
    <row r="5" spans="1:23" ht="15.5">
      <c r="H5" s="6"/>
    </row>
    <row r="6" spans="1:23" ht="15.5">
      <c r="H6" s="202" t="s">
        <v>555</v>
      </c>
    </row>
    <row r="8" spans="1:23" ht="18">
      <c r="C8" s="88"/>
      <c r="E8" s="88"/>
      <c r="F8" s="88"/>
      <c r="G8" s="88"/>
      <c r="H8" s="422" t="str">
        <f>+'PSO TCOS'!F8</f>
        <v>PUBLIC SERVICE COMPANY OF OKLAHOMA</v>
      </c>
      <c r="I8" s="88"/>
      <c r="J8" s="88"/>
      <c r="K8" s="88"/>
    </row>
    <row r="9" spans="1:23" ht="12.5"/>
    <row r="10" spans="1:23" ht="12.5">
      <c r="A10" t="s">
        <v>697</v>
      </c>
    </row>
    <row r="13" spans="1:23" ht="24.75" customHeight="1" thickBot="1">
      <c r="A13" s="203" t="s">
        <v>301</v>
      </c>
      <c r="B13" s="203" t="s">
        <v>302</v>
      </c>
      <c r="C13" s="423" t="s">
        <v>47</v>
      </c>
      <c r="D13" s="203" t="s">
        <v>304</v>
      </c>
      <c r="E13" s="203" t="s">
        <v>229</v>
      </c>
      <c r="F13" s="203" t="s">
        <v>230</v>
      </c>
      <c r="G13" s="203" t="str">
        <f>"(G) = "&amp;E13&amp;" + "&amp;F13</f>
        <v>(G) = (E) + (F)</v>
      </c>
      <c r="H13" s="203"/>
      <c r="I13" s="203" t="s">
        <v>236</v>
      </c>
      <c r="J13" s="203" t="s">
        <v>177</v>
      </c>
      <c r="K13" s="203" t="str">
        <f>"(J) = "&amp;I13&amp;" - "&amp;J13</f>
        <v>(J) = (H) - (I)</v>
      </c>
      <c r="L13" s="203"/>
      <c r="M13" s="203" t="s">
        <v>881</v>
      </c>
      <c r="N13" s="203" t="s">
        <v>556</v>
      </c>
      <c r="O13" s="203" t="str">
        <f>"(M) = "&amp;M13&amp;"-"&amp;N13</f>
        <v>(M) = (K)-(L)</v>
      </c>
      <c r="P13" s="203" t="s">
        <v>882</v>
      </c>
      <c r="Q13" s="203" t="s">
        <v>558</v>
      </c>
      <c r="R13" s="203" t="str">
        <f>"(P) = "&amp;LEFT(K13,3)&amp;"+ "&amp;LEFT(P13,3)&amp;"+"&amp;LEFT(O13,3)&amp;"+"&amp;Q13</f>
        <v>(P) = (J)+ (N)+(M)+(O)</v>
      </c>
      <c r="S13" s="203"/>
      <c r="T13" s="203" t="str">
        <f>"(Q) = "&amp;LEFT(G13,3)&amp;" + "&amp;LEFT(R13,3)</f>
        <v>(Q) = (G) + (P)</v>
      </c>
      <c r="U13" s="203"/>
      <c r="V13" s="204"/>
      <c r="W13" s="204"/>
    </row>
    <row r="14" spans="1:23" ht="16.5" customHeight="1" thickBot="1">
      <c r="A14" s="424"/>
      <c r="B14" s="425"/>
      <c r="C14" s="425"/>
      <c r="D14" s="425"/>
      <c r="E14" s="2261" t="str">
        <f>"Projected ARR For "&amp;U2+1&amp;" From WS-F"</f>
        <v>Projected ARR For 2025 From WS-F</v>
      </c>
      <c r="F14" s="2261"/>
      <c r="G14" s="2261"/>
      <c r="H14" s="425"/>
      <c r="I14" s="2261" t="str">
        <f>"True Up ARR For "&amp;U2&amp;" From WS-G"</f>
        <v>True Up ARR For 2024 From WS-G</v>
      </c>
      <c r="J14" s="2261"/>
      <c r="K14" s="2261"/>
      <c r="L14" s="426"/>
      <c r="M14" s="426" t="s">
        <v>560</v>
      </c>
      <c r="N14" s="427"/>
      <c r="O14" s="427"/>
      <c r="P14" s="428"/>
      <c r="Q14" s="429"/>
      <c r="R14" s="430"/>
      <c r="S14" s="425"/>
      <c r="T14" s="431"/>
      <c r="U14" s="212"/>
    </row>
    <row r="15" spans="1:23" ht="87" customHeight="1" thickBot="1">
      <c r="A15" s="432" t="s">
        <v>561</v>
      </c>
      <c r="B15" s="433" t="s">
        <v>562</v>
      </c>
      <c r="C15" s="433" t="s">
        <v>563</v>
      </c>
      <c r="D15" s="433" t="s">
        <v>564</v>
      </c>
      <c r="E15" s="433" t="s">
        <v>559</v>
      </c>
      <c r="F15" s="433" t="s">
        <v>565</v>
      </c>
      <c r="G15" s="433" t="s">
        <v>258</v>
      </c>
      <c r="H15" s="433"/>
      <c r="I15" s="433" t="s">
        <v>953</v>
      </c>
      <c r="J15" s="433" t="s">
        <v>954</v>
      </c>
      <c r="K15" s="433" t="s">
        <v>951</v>
      </c>
      <c r="L15" s="433"/>
      <c r="M15" s="433" t="s">
        <v>566</v>
      </c>
      <c r="N15" s="433" t="s">
        <v>955</v>
      </c>
      <c r="O15" s="433" t="s">
        <v>951</v>
      </c>
      <c r="P15" s="433" t="s">
        <v>965</v>
      </c>
      <c r="Q15" s="433" t="s">
        <v>952</v>
      </c>
      <c r="R15" s="433" t="s">
        <v>966</v>
      </c>
      <c r="S15" s="434"/>
      <c r="T15" s="435" t="str">
        <f>"Total ADJUSTED Revenue Requirement Effective
1/1/"&amp;U2&amp;""</f>
        <v>Total ADJUSTED Revenue Requirement Effective
1/1/2024</v>
      </c>
      <c r="U15" s="2196" t="s">
        <v>1911</v>
      </c>
      <c r="V15" s="436" t="s">
        <v>692</v>
      </c>
    </row>
    <row r="16" spans="1:23" ht="13">
      <c r="A16" s="437"/>
      <c r="B16" s="212"/>
      <c r="C16" s="212"/>
      <c r="E16" s="514"/>
      <c r="F16" s="514"/>
      <c r="G16" s="514"/>
      <c r="H16" s="515"/>
      <c r="I16" s="514"/>
      <c r="J16" s="514"/>
      <c r="K16" s="514"/>
      <c r="L16" s="514"/>
      <c r="M16" s="514"/>
      <c r="N16" s="514"/>
      <c r="O16" s="514"/>
      <c r="P16" s="514"/>
      <c r="Q16" s="514"/>
      <c r="R16" s="514"/>
      <c r="S16" s="515"/>
      <c r="T16" s="516"/>
      <c r="U16" s="515"/>
      <c r="V16" s="517"/>
      <c r="W16" s="515"/>
    </row>
    <row r="17" spans="1:23" ht="13">
      <c r="A17" s="203" t="s">
        <v>1030</v>
      </c>
      <c r="B17" s="203" t="s">
        <v>1031</v>
      </c>
      <c r="C17" s="684" t="s">
        <v>1056</v>
      </c>
      <c r="D17" s="420">
        <v>2009</v>
      </c>
      <c r="E17" s="2082">
        <v>0</v>
      </c>
      <c r="F17" s="521">
        <v>0</v>
      </c>
      <c r="G17" s="521">
        <v>0</v>
      </c>
      <c r="H17" s="204"/>
      <c r="I17" s="2083">
        <v>13242.449919406761</v>
      </c>
      <c r="J17" s="522">
        <v>89462.66372975886</v>
      </c>
      <c r="K17" s="522">
        <v>97479.325058356844</v>
      </c>
      <c r="L17" s="2082">
        <v>-5266.3874266891216</v>
      </c>
      <c r="M17" s="2082"/>
      <c r="N17" s="521">
        <v>0</v>
      </c>
      <c r="O17" s="521">
        <v>0</v>
      </c>
      <c r="P17" s="521">
        <v>0</v>
      </c>
      <c r="Q17" s="2082">
        <v>1926.0170313356002</v>
      </c>
      <c r="R17" s="525">
        <v>7151.8056221443776</v>
      </c>
      <c r="S17" s="525"/>
      <c r="T17" s="2085">
        <v>7151.8056221443776</v>
      </c>
      <c r="U17" s="2239">
        <v>0</v>
      </c>
      <c r="V17" s="527">
        <v>5225.7885908087774</v>
      </c>
      <c r="W17" t="s">
        <v>1030</v>
      </c>
    </row>
    <row r="18" spans="1:23" ht="13">
      <c r="A18" s="203" t="s">
        <v>1032</v>
      </c>
      <c r="B18" s="203" t="s">
        <v>1031</v>
      </c>
      <c r="C18" s="684" t="s">
        <v>1057</v>
      </c>
      <c r="D18" s="420">
        <v>2009</v>
      </c>
      <c r="E18" s="2082">
        <v>0</v>
      </c>
      <c r="F18" s="521">
        <v>0</v>
      </c>
      <c r="G18" s="521">
        <v>0</v>
      </c>
      <c r="H18" s="204"/>
      <c r="I18" s="2083">
        <v>73688.575321165146</v>
      </c>
      <c r="J18" s="522">
        <v>468824.64618251205</v>
      </c>
      <c r="K18" s="522">
        <v>510835.56173380901</v>
      </c>
      <c r="L18" s="2082">
        <v>-27582.467801703955</v>
      </c>
      <c r="M18" s="2082"/>
      <c r="N18" s="521">
        <v>0</v>
      </c>
      <c r="O18" s="521">
        <v>0</v>
      </c>
      <c r="P18" s="521">
        <v>0</v>
      </c>
      <c r="Q18" s="2082">
        <v>11675.120638620805</v>
      </c>
      <c r="R18" s="525">
        <v>43352.780408488994</v>
      </c>
      <c r="S18" s="525"/>
      <c r="T18" s="2086">
        <v>43352.780408488994</v>
      </c>
      <c r="U18" s="2239">
        <v>0</v>
      </c>
      <c r="V18" s="527">
        <v>31677.659769868187</v>
      </c>
      <c r="W18" t="s">
        <v>1032</v>
      </c>
    </row>
    <row r="19" spans="1:23" ht="25">
      <c r="A19" s="203" t="s">
        <v>1033</v>
      </c>
      <c r="B19" s="203" t="s">
        <v>1031</v>
      </c>
      <c r="C19" s="439" t="s">
        <v>1058</v>
      </c>
      <c r="D19" s="420">
        <v>2009</v>
      </c>
      <c r="E19" s="2082">
        <v>0</v>
      </c>
      <c r="F19" s="521">
        <v>0</v>
      </c>
      <c r="G19" s="521">
        <v>0</v>
      </c>
      <c r="H19" s="204"/>
      <c r="I19" s="2083">
        <v>175749.96612949809</v>
      </c>
      <c r="J19" s="522">
        <v>1148317.4014260659</v>
      </c>
      <c r="K19" s="522">
        <v>1251216.9946326371</v>
      </c>
      <c r="L19" s="2082">
        <v>-68005.839032406453</v>
      </c>
      <c r="M19" s="2082"/>
      <c r="N19" s="521">
        <v>0</v>
      </c>
      <c r="O19" s="521">
        <v>0</v>
      </c>
      <c r="P19" s="521">
        <v>0</v>
      </c>
      <c r="Q19" s="2082">
        <v>26849.738857689154</v>
      </c>
      <c r="R19" s="525">
        <v>99700.111780616062</v>
      </c>
      <c r="S19" s="525"/>
      <c r="T19" s="2086">
        <v>99700.111780616062</v>
      </c>
      <c r="U19" s="2239">
        <v>0</v>
      </c>
      <c r="V19" s="527">
        <v>72850.372922926908</v>
      </c>
      <c r="W19" t="s">
        <v>1033</v>
      </c>
    </row>
    <row r="20" spans="1:23" ht="25">
      <c r="A20" s="203" t="s">
        <v>1034</v>
      </c>
      <c r="B20" s="203" t="s">
        <v>1031</v>
      </c>
      <c r="C20" s="439" t="s">
        <v>1059</v>
      </c>
      <c r="D20" s="420">
        <v>2008</v>
      </c>
      <c r="E20" s="2082">
        <v>0</v>
      </c>
      <c r="F20" s="521">
        <v>0</v>
      </c>
      <c r="G20" s="521">
        <v>0</v>
      </c>
      <c r="H20" s="204"/>
      <c r="I20" s="2083">
        <v>207165.1514760938</v>
      </c>
      <c r="J20" s="522">
        <v>1420660.7582774439</v>
      </c>
      <c r="K20" s="522">
        <v>1547964.7718974971</v>
      </c>
      <c r="L20" s="2082">
        <v>-83898.4841228968</v>
      </c>
      <c r="M20" s="2082"/>
      <c r="N20" s="521">
        <v>0</v>
      </c>
      <c r="O20" s="521">
        <v>0</v>
      </c>
      <c r="P20" s="521">
        <v>0</v>
      </c>
      <c r="Q20" s="2082">
        <v>29433.626902378997</v>
      </c>
      <c r="R20" s="525">
        <v>109294.76475841961</v>
      </c>
      <c r="S20" s="525"/>
      <c r="T20" s="2086">
        <v>109294.76475841961</v>
      </c>
      <c r="U20" s="2239">
        <v>0</v>
      </c>
      <c r="V20" s="527">
        <v>79861.137856040616</v>
      </c>
      <c r="W20" t="s">
        <v>1034</v>
      </c>
    </row>
    <row r="21" spans="1:23" ht="13">
      <c r="A21" s="1793" t="s">
        <v>1035</v>
      </c>
      <c r="B21" s="203" t="s">
        <v>1031</v>
      </c>
      <c r="C21" s="439" t="s">
        <v>1060</v>
      </c>
      <c r="D21" s="420">
        <v>2006</v>
      </c>
      <c r="E21" s="2082">
        <v>0</v>
      </c>
      <c r="F21" s="521">
        <v>0</v>
      </c>
      <c r="G21" s="521">
        <v>0</v>
      </c>
      <c r="H21" s="204"/>
      <c r="I21" s="2083">
        <v>5499.2600493976424</v>
      </c>
      <c r="J21" s="522">
        <v>36405.294117035723</v>
      </c>
      <c r="K21" s="522">
        <v>39667.536725705053</v>
      </c>
      <c r="L21" s="2082">
        <v>-2139.8328247786703</v>
      </c>
      <c r="M21" s="2082"/>
      <c r="N21" s="521">
        <v>0</v>
      </c>
      <c r="O21" s="521">
        <v>0</v>
      </c>
      <c r="P21" s="521">
        <v>0</v>
      </c>
      <c r="Q21" s="2082">
        <v>824.47531417850337</v>
      </c>
      <c r="R21" s="525">
        <v>3061.4927549068152</v>
      </c>
      <c r="S21" s="525"/>
      <c r="T21" s="2086">
        <v>3061.4927549068152</v>
      </c>
      <c r="U21" s="2239">
        <v>0</v>
      </c>
      <c r="V21" s="527">
        <v>2237.0174407283121</v>
      </c>
      <c r="W21" t="s">
        <v>1035</v>
      </c>
    </row>
    <row r="22" spans="1:23" ht="13">
      <c r="A22" s="203" t="s">
        <v>1036</v>
      </c>
      <c r="B22" s="203" t="s">
        <v>1031</v>
      </c>
      <c r="C22" s="439" t="s">
        <v>1061</v>
      </c>
      <c r="D22" s="420">
        <v>2008</v>
      </c>
      <c r="E22" s="2082">
        <v>0</v>
      </c>
      <c r="F22" s="521">
        <v>0</v>
      </c>
      <c r="G22" s="521">
        <v>0</v>
      </c>
      <c r="H22" s="204"/>
      <c r="I22" s="2083">
        <v>22516.990963134594</v>
      </c>
      <c r="J22" s="522">
        <v>148666.60848890175</v>
      </c>
      <c r="K22" s="522">
        <v>161988.47709239999</v>
      </c>
      <c r="L22" s="2082">
        <v>-8745.6448767242546</v>
      </c>
      <c r="M22" s="2082"/>
      <c r="N22" s="521">
        <v>0</v>
      </c>
      <c r="O22" s="521">
        <v>0</v>
      </c>
      <c r="P22" s="521">
        <v>0</v>
      </c>
      <c r="Q22" s="2082">
        <v>3388.9549801197572</v>
      </c>
      <c r="R22" s="525">
        <v>12584.077339756113</v>
      </c>
      <c r="S22" s="525"/>
      <c r="T22" s="2086">
        <v>12584.077339756113</v>
      </c>
      <c r="U22" s="2240">
        <v>0</v>
      </c>
      <c r="V22" s="527">
        <v>9195.1223596363561</v>
      </c>
      <c r="W22" t="s">
        <v>1036</v>
      </c>
    </row>
    <row r="23" spans="1:23" ht="13">
      <c r="A23" s="203" t="s">
        <v>1037</v>
      </c>
      <c r="B23" s="203" t="s">
        <v>1031</v>
      </c>
      <c r="C23" s="439" t="s">
        <v>1062</v>
      </c>
      <c r="D23" s="420">
        <v>2007</v>
      </c>
      <c r="E23" s="2082">
        <v>0</v>
      </c>
      <c r="F23" s="521">
        <v>0</v>
      </c>
      <c r="G23" s="521">
        <v>0</v>
      </c>
      <c r="H23" s="204"/>
      <c r="I23" s="2083">
        <v>1219.9623153536995</v>
      </c>
      <c r="J23" s="522">
        <v>8195.757211601207</v>
      </c>
      <c r="K23" s="522">
        <v>8930.170956482425</v>
      </c>
      <c r="L23" s="2082">
        <v>-482.07328530539871</v>
      </c>
      <c r="M23" s="2082"/>
      <c r="N23" s="521">
        <v>0</v>
      </c>
      <c r="O23" s="521">
        <v>0</v>
      </c>
      <c r="P23" s="521">
        <v>0</v>
      </c>
      <c r="Q23" s="2082">
        <v>178.95381721247924</v>
      </c>
      <c r="R23" s="525">
        <v>664.50238768496069</v>
      </c>
      <c r="S23" s="556" t="s">
        <v>82</v>
      </c>
      <c r="T23" s="2086">
        <v>664.50238768496069</v>
      </c>
      <c r="U23" s="2239">
        <v>0</v>
      </c>
      <c r="V23" s="527">
        <v>485.54857047248152</v>
      </c>
      <c r="W23" t="s">
        <v>1037</v>
      </c>
    </row>
    <row r="24" spans="1:23" ht="13">
      <c r="A24" s="203" t="s">
        <v>1038</v>
      </c>
      <c r="B24" s="203" t="s">
        <v>1031</v>
      </c>
      <c r="C24" s="439" t="s">
        <v>1063</v>
      </c>
      <c r="D24" s="420">
        <v>2006</v>
      </c>
      <c r="E24" s="2082">
        <v>0</v>
      </c>
      <c r="F24" s="521">
        <v>0</v>
      </c>
      <c r="G24" s="521">
        <v>0</v>
      </c>
      <c r="H24" s="204"/>
      <c r="I24" s="2083">
        <v>868.76607154223348</v>
      </c>
      <c r="J24" s="522">
        <v>5339.7022057709664</v>
      </c>
      <c r="K24" s="522">
        <v>5818.1876699254863</v>
      </c>
      <c r="L24" s="2082">
        <v>-313.71635746937136</v>
      </c>
      <c r="M24" s="2082"/>
      <c r="N24" s="521">
        <v>0</v>
      </c>
      <c r="O24" s="521">
        <v>0</v>
      </c>
      <c r="P24" s="521">
        <v>0</v>
      </c>
      <c r="Q24" s="2082">
        <v>143.84184965898191</v>
      </c>
      <c r="R24" s="525">
        <v>534.12245704669556</v>
      </c>
      <c r="S24" s="556" t="s">
        <v>82</v>
      </c>
      <c r="T24" s="2086">
        <v>534.12245704669556</v>
      </c>
      <c r="U24" s="2239">
        <v>0</v>
      </c>
      <c r="V24" s="527">
        <v>390.28060738771364</v>
      </c>
      <c r="W24" t="s">
        <v>1038</v>
      </c>
    </row>
    <row r="25" spans="1:23" ht="13">
      <c r="A25" s="203" t="s">
        <v>1039</v>
      </c>
      <c r="B25" s="203" t="s">
        <v>1031</v>
      </c>
      <c r="C25" s="439" t="s">
        <v>1064</v>
      </c>
      <c r="D25" s="420">
        <v>2007</v>
      </c>
      <c r="E25" s="2082">
        <v>0</v>
      </c>
      <c r="F25" s="521">
        <v>0</v>
      </c>
      <c r="G25" s="521">
        <v>0</v>
      </c>
      <c r="H25" s="204"/>
      <c r="I25" s="2083">
        <v>1146.7579156351276</v>
      </c>
      <c r="J25" s="522">
        <v>7049.8642720221578</v>
      </c>
      <c r="K25" s="522">
        <v>7681.5956773389553</v>
      </c>
      <c r="L25" s="2082">
        <v>-414.39343774478402</v>
      </c>
      <c r="M25" s="2082"/>
      <c r="N25" s="521">
        <v>0</v>
      </c>
      <c r="O25" s="521">
        <v>0</v>
      </c>
      <c r="P25" s="521">
        <v>0</v>
      </c>
      <c r="Q25" s="2082">
        <v>189.81820891245113</v>
      </c>
      <c r="R25" s="525">
        <v>704.84471923078127</v>
      </c>
      <c r="S25" s="556" t="s">
        <v>82</v>
      </c>
      <c r="T25" s="2086">
        <v>704.84471923078127</v>
      </c>
      <c r="U25" s="2239">
        <v>0</v>
      </c>
      <c r="V25" s="527">
        <v>515.02651031833011</v>
      </c>
      <c r="W25" t="s">
        <v>1039</v>
      </c>
    </row>
    <row r="26" spans="1:23" ht="13">
      <c r="A26" s="203" t="s">
        <v>1040</v>
      </c>
      <c r="B26" s="203" t="s">
        <v>1031</v>
      </c>
      <c r="C26" s="439" t="s">
        <v>1065</v>
      </c>
      <c r="D26" s="420">
        <v>2010</v>
      </c>
      <c r="E26" s="2082">
        <v>0</v>
      </c>
      <c r="F26" s="521">
        <v>0</v>
      </c>
      <c r="G26" s="521">
        <v>0</v>
      </c>
      <c r="H26" s="204"/>
      <c r="I26" s="2083">
        <v>1548.0945273969428</v>
      </c>
      <c r="J26" s="522">
        <v>9867.7882600246721</v>
      </c>
      <c r="K26" s="522">
        <v>10752.031063054681</v>
      </c>
      <c r="L26" s="2082">
        <v>-580.890344542604</v>
      </c>
      <c r="M26" s="2082"/>
      <c r="N26" s="521">
        <v>0</v>
      </c>
      <c r="O26" s="521">
        <v>0</v>
      </c>
      <c r="P26" s="521">
        <v>0</v>
      </c>
      <c r="Q26" s="2082">
        <v>244.66924086080149</v>
      </c>
      <c r="R26" s="525">
        <v>908.52096522773536</v>
      </c>
      <c r="S26" s="525"/>
      <c r="T26" s="2086">
        <v>908.52096522773536</v>
      </c>
      <c r="U26" s="2239">
        <v>0</v>
      </c>
      <c r="V26" s="527">
        <v>663.85172436693392</v>
      </c>
      <c r="W26" t="s">
        <v>1040</v>
      </c>
    </row>
    <row r="27" spans="1:23" ht="16.5" customHeight="1">
      <c r="A27" s="1793" t="s">
        <v>1041</v>
      </c>
      <c r="B27" s="203" t="s">
        <v>1031</v>
      </c>
      <c r="C27" s="439" t="s">
        <v>1066</v>
      </c>
      <c r="D27" s="420">
        <v>2011</v>
      </c>
      <c r="E27" s="2082">
        <v>0</v>
      </c>
      <c r="F27" s="521">
        <v>0</v>
      </c>
      <c r="G27" s="521">
        <v>0</v>
      </c>
      <c r="H27" s="204"/>
      <c r="I27" s="2083">
        <v>22304.177968988806</v>
      </c>
      <c r="J27" s="522">
        <v>159718.57699056924</v>
      </c>
      <c r="K27" s="522">
        <v>174030.80162415211</v>
      </c>
      <c r="L27" s="2082">
        <v>-8598.6906723320426</v>
      </c>
      <c r="M27" s="2082"/>
      <c r="N27" s="521">
        <v>0</v>
      </c>
      <c r="O27" s="521">
        <v>0</v>
      </c>
      <c r="P27" s="521">
        <v>0</v>
      </c>
      <c r="Q27" s="2082">
        <v>2945.5149151467931</v>
      </c>
      <c r="R27" s="525">
        <v>10937.468250552731</v>
      </c>
      <c r="S27" s="525"/>
      <c r="T27" s="2086">
        <v>10937.468250552731</v>
      </c>
      <c r="U27" s="2239">
        <v>0</v>
      </c>
      <c r="V27" s="527">
        <v>7991.9533354059386</v>
      </c>
      <c r="W27" t="s">
        <v>1041</v>
      </c>
    </row>
    <row r="28" spans="1:23" ht="17.25" customHeight="1">
      <c r="A28" s="1793" t="s">
        <v>1042</v>
      </c>
      <c r="B28" s="203" t="s">
        <v>1031</v>
      </c>
      <c r="C28" s="439" t="s">
        <v>1067</v>
      </c>
      <c r="D28" s="420">
        <v>2012</v>
      </c>
      <c r="E28" s="2082">
        <v>0</v>
      </c>
      <c r="F28" s="521">
        <v>0</v>
      </c>
      <c r="G28" s="521">
        <v>0</v>
      </c>
      <c r="H28" s="204"/>
      <c r="I28" s="2083">
        <v>31237.422740263166</v>
      </c>
      <c r="J28" s="522">
        <v>376690.41052741749</v>
      </c>
      <c r="K28" s="522">
        <v>410445.26781683147</v>
      </c>
      <c r="L28" s="2082">
        <v>-20981.769365717599</v>
      </c>
      <c r="M28" s="2082"/>
      <c r="N28" s="521">
        <v>0</v>
      </c>
      <c r="O28" s="521">
        <v>0</v>
      </c>
      <c r="P28" s="521">
        <v>0</v>
      </c>
      <c r="Q28" s="2082">
        <v>-927.82586449535665</v>
      </c>
      <c r="R28" s="525">
        <v>-3445.2604136461705</v>
      </c>
      <c r="S28" s="525"/>
      <c r="T28" s="2086">
        <v>-3445.2604136461705</v>
      </c>
      <c r="U28" s="2239">
        <v>0</v>
      </c>
      <c r="V28" s="527">
        <v>-2517.4345491508138</v>
      </c>
      <c r="W28" t="s">
        <v>1042</v>
      </c>
    </row>
    <row r="29" spans="1:23" ht="17.25" customHeight="1">
      <c r="A29" s="1793" t="s">
        <v>1043</v>
      </c>
      <c r="B29" s="203" t="s">
        <v>1031</v>
      </c>
      <c r="C29" s="439" t="s">
        <v>1068</v>
      </c>
      <c r="D29" s="420">
        <v>2010</v>
      </c>
      <c r="E29" s="2082">
        <v>0</v>
      </c>
      <c r="F29" s="521">
        <v>0</v>
      </c>
      <c r="G29" s="521">
        <v>0</v>
      </c>
      <c r="H29" s="204"/>
      <c r="I29" s="2083">
        <v>359.73302838140262</v>
      </c>
      <c r="J29" s="522">
        <v>2347.8084569597795</v>
      </c>
      <c r="K29" s="522">
        <v>2558.1932641986896</v>
      </c>
      <c r="L29" s="2082">
        <v>-138.48959669207261</v>
      </c>
      <c r="M29" s="2082"/>
      <c r="N29" s="521">
        <v>0</v>
      </c>
      <c r="O29" s="521">
        <v>0</v>
      </c>
      <c r="P29" s="521">
        <v>0</v>
      </c>
      <c r="Q29" s="2082">
        <v>55.043791481736548</v>
      </c>
      <c r="R29" s="525">
        <v>204.3920126242291</v>
      </c>
      <c r="S29" s="525"/>
      <c r="T29" s="2086">
        <v>204.3920126242291</v>
      </c>
      <c r="U29" s="2241">
        <v>0</v>
      </c>
      <c r="V29" s="527">
        <v>149.34822114249255</v>
      </c>
      <c r="W29" t="s">
        <v>1043</v>
      </c>
    </row>
    <row r="30" spans="1:23" ht="17.25" customHeight="1">
      <c r="A30" s="465" t="s">
        <v>1044</v>
      </c>
      <c r="B30" s="203" t="s">
        <v>1031</v>
      </c>
      <c r="C30" s="439" t="s">
        <v>1069</v>
      </c>
      <c r="D30" s="420">
        <v>2013</v>
      </c>
      <c r="E30" s="2082">
        <v>0</v>
      </c>
      <c r="F30" s="521">
        <v>0</v>
      </c>
      <c r="G30" s="521">
        <v>0</v>
      </c>
      <c r="H30" s="204"/>
      <c r="I30" s="2083">
        <v>26418.299793867147</v>
      </c>
      <c r="J30" s="522">
        <v>111982.99536823592</v>
      </c>
      <c r="K30" s="522">
        <v>122017.68147081933</v>
      </c>
      <c r="L30" s="2082">
        <v>-6587.8457229720807</v>
      </c>
      <c r="M30" s="2082"/>
      <c r="N30" s="521">
        <v>0</v>
      </c>
      <c r="O30" s="521">
        <v>0</v>
      </c>
      <c r="P30" s="521">
        <v>0</v>
      </c>
      <c r="Q30" s="2082">
        <v>6038.3458794592998</v>
      </c>
      <c r="R30" s="525">
        <v>22421.959570743038</v>
      </c>
      <c r="S30" s="525"/>
      <c r="T30" s="2086">
        <v>22421.959570743038</v>
      </c>
      <c r="U30" s="2239">
        <v>0</v>
      </c>
      <c r="V30" s="527">
        <v>16383.613691283739</v>
      </c>
      <c r="W30" t="s">
        <v>1044</v>
      </c>
    </row>
    <row r="31" spans="1:23" ht="17.25" customHeight="1">
      <c r="A31" s="465" t="s">
        <v>1045</v>
      </c>
      <c r="B31" s="203" t="s">
        <v>1031</v>
      </c>
      <c r="C31" s="439" t="s">
        <v>1070</v>
      </c>
      <c r="D31" s="420">
        <v>2014</v>
      </c>
      <c r="E31" s="2082">
        <v>0</v>
      </c>
      <c r="F31" s="521">
        <v>0</v>
      </c>
      <c r="G31" s="521">
        <v>0</v>
      </c>
      <c r="H31" s="204"/>
      <c r="I31" s="2083">
        <v>38579.788730351225</v>
      </c>
      <c r="J31" s="522">
        <v>246846.72086541692</v>
      </c>
      <c r="K31" s="522">
        <v>268966.41279892181</v>
      </c>
      <c r="L31" s="2082">
        <v>-14550.283931520011</v>
      </c>
      <c r="M31" s="2082"/>
      <c r="N31" s="521">
        <v>0</v>
      </c>
      <c r="O31" s="521">
        <v>0</v>
      </c>
      <c r="P31" s="521">
        <v>0</v>
      </c>
      <c r="Q31" s="2082">
        <v>6066.5344985285992</v>
      </c>
      <c r="R31" s="525">
        <v>22526.631295374937</v>
      </c>
      <c r="S31" s="525"/>
      <c r="T31" s="2086">
        <v>22526.631295374937</v>
      </c>
      <c r="U31" s="2239">
        <v>0</v>
      </c>
      <c r="V31" s="527">
        <v>16460.096796846337</v>
      </c>
      <c r="W31" t="s">
        <v>1045</v>
      </c>
    </row>
    <row r="32" spans="1:23" ht="17.25" customHeight="1">
      <c r="A32" s="465" t="s">
        <v>1046</v>
      </c>
      <c r="B32" s="203" t="s">
        <v>1031</v>
      </c>
      <c r="C32" s="439" t="s">
        <v>1071</v>
      </c>
      <c r="D32" s="420">
        <v>2014</v>
      </c>
      <c r="E32" s="2082">
        <v>0</v>
      </c>
      <c r="F32" s="521">
        <v>0</v>
      </c>
      <c r="G32" s="521">
        <v>0</v>
      </c>
      <c r="H32" s="204"/>
      <c r="I32" s="2083">
        <v>88869.303220577305</v>
      </c>
      <c r="J32" s="522">
        <v>564723.9870002158</v>
      </c>
      <c r="K32" s="522">
        <v>615328.34818480653</v>
      </c>
      <c r="L32" s="2082">
        <v>-33294.331544749904</v>
      </c>
      <c r="M32" s="2082"/>
      <c r="N32" s="521">
        <v>0</v>
      </c>
      <c r="O32" s="521">
        <v>0</v>
      </c>
      <c r="P32" s="521">
        <v>0</v>
      </c>
      <c r="Q32" s="2082">
        <v>14102.92988009558</v>
      </c>
      <c r="R32" s="525">
        <v>52367.871916082157</v>
      </c>
      <c r="S32" s="525"/>
      <c r="T32" s="2086">
        <v>52367.871916082157</v>
      </c>
      <c r="U32" s="2239">
        <v>0</v>
      </c>
      <c r="V32" s="527">
        <v>38264.942035986576</v>
      </c>
      <c r="W32" t="s">
        <v>1046</v>
      </c>
    </row>
    <row r="33" spans="1:23" ht="17.25" customHeight="1">
      <c r="A33" s="465" t="s">
        <v>1047</v>
      </c>
      <c r="B33" s="203" t="s">
        <v>1031</v>
      </c>
      <c r="C33" s="439" t="s">
        <v>1072</v>
      </c>
      <c r="D33" s="420">
        <v>2015</v>
      </c>
      <c r="E33" s="2082">
        <v>0</v>
      </c>
      <c r="F33" s="521">
        <v>0</v>
      </c>
      <c r="G33" s="521">
        <v>0</v>
      </c>
      <c r="H33" s="204"/>
      <c r="I33" s="2083">
        <v>30404.718148415617</v>
      </c>
      <c r="J33" s="522">
        <v>192426.66908744062</v>
      </c>
      <c r="K33" s="522">
        <v>209669.83369210761</v>
      </c>
      <c r="L33" s="2082">
        <v>-11344.027582441107</v>
      </c>
      <c r="M33" s="2082"/>
      <c r="N33" s="521">
        <v>0</v>
      </c>
      <c r="O33" s="521">
        <v>0</v>
      </c>
      <c r="P33" s="521">
        <v>0</v>
      </c>
      <c r="Q33" s="2082">
        <v>4850.82315206556</v>
      </c>
      <c r="R33" s="525">
        <v>18012.376695814186</v>
      </c>
      <c r="S33" s="525"/>
      <c r="T33" s="2086">
        <v>18012.376695814186</v>
      </c>
      <c r="U33" s="2239">
        <v>0</v>
      </c>
      <c r="V33" s="527">
        <v>13161.553543748625</v>
      </c>
      <c r="W33" t="s">
        <v>1047</v>
      </c>
    </row>
    <row r="34" spans="1:23" ht="17.25" customHeight="1">
      <c r="A34" s="465" t="s">
        <v>1048</v>
      </c>
      <c r="B34" s="203" t="s">
        <v>1031</v>
      </c>
      <c r="C34" s="439" t="s">
        <v>1073</v>
      </c>
      <c r="D34" s="420">
        <v>2014</v>
      </c>
      <c r="E34" s="2082">
        <v>0</v>
      </c>
      <c r="F34" s="529">
        <v>0</v>
      </c>
      <c r="G34" s="529">
        <v>0</v>
      </c>
      <c r="H34" s="204"/>
      <c r="I34" s="2083">
        <v>32707.475308627618</v>
      </c>
      <c r="J34" s="522">
        <v>192856.70212709974</v>
      </c>
      <c r="K34" s="530">
        <v>210138.40156960109</v>
      </c>
      <c r="L34" s="2084">
        <v>-11361.989167860302</v>
      </c>
      <c r="M34" s="2084"/>
      <c r="N34" s="529">
        <v>0</v>
      </c>
      <c r="O34" s="529">
        <v>0</v>
      </c>
      <c r="P34" s="529">
        <v>0</v>
      </c>
      <c r="Q34" s="2084">
        <v>5685.3250994462232</v>
      </c>
      <c r="R34" s="531">
        <v>21111.100965572485</v>
      </c>
      <c r="S34" s="531"/>
      <c r="T34" s="2086">
        <v>21111.100965572485</v>
      </c>
      <c r="U34" s="2239">
        <v>0</v>
      </c>
      <c r="V34" s="527">
        <v>15425.775866126263</v>
      </c>
      <c r="W34" t="s">
        <v>1048</v>
      </c>
    </row>
    <row r="35" spans="1:23" ht="17.25" customHeight="1">
      <c r="A35" s="465" t="s">
        <v>1049</v>
      </c>
      <c r="B35" s="203" t="s">
        <v>1031</v>
      </c>
      <c r="C35" s="439" t="s">
        <v>1074</v>
      </c>
      <c r="D35" s="420">
        <v>2017</v>
      </c>
      <c r="E35" s="2082">
        <v>0</v>
      </c>
      <c r="F35" s="529">
        <v>0</v>
      </c>
      <c r="G35" s="529">
        <v>0</v>
      </c>
      <c r="H35" s="204"/>
      <c r="I35" s="2083">
        <v>23039.157078269374</v>
      </c>
      <c r="J35" s="522">
        <v>156188.99637524891</v>
      </c>
      <c r="K35" s="530">
        <v>170184.93876051332</v>
      </c>
      <c r="L35" s="2084">
        <v>-9322.1154028119054</v>
      </c>
      <c r="M35" s="2084"/>
      <c r="N35" s="529">
        <v>0</v>
      </c>
      <c r="O35" s="529">
        <v>0</v>
      </c>
      <c r="P35" s="529">
        <v>0</v>
      </c>
      <c r="Q35" s="2084">
        <v>3332.96787921845</v>
      </c>
      <c r="R35" s="531">
        <v>12376.182572223413</v>
      </c>
      <c r="S35" s="531"/>
      <c r="T35" s="2086">
        <v>12376.182572223413</v>
      </c>
      <c r="U35" s="2239">
        <v>0</v>
      </c>
      <c r="V35" s="527">
        <v>9043.2146930049639</v>
      </c>
      <c r="W35" t="s">
        <v>1049</v>
      </c>
    </row>
    <row r="36" spans="1:23" ht="17.25" customHeight="1">
      <c r="A36" s="465" t="s">
        <v>1050</v>
      </c>
      <c r="B36" s="203" t="s">
        <v>1031</v>
      </c>
      <c r="C36" s="439" t="s">
        <v>1075</v>
      </c>
      <c r="D36" s="420">
        <v>2018</v>
      </c>
      <c r="E36" s="2082">
        <v>0</v>
      </c>
      <c r="F36" s="521">
        <v>0</v>
      </c>
      <c r="G36" s="521">
        <v>0</v>
      </c>
      <c r="H36" s="204"/>
      <c r="I36" s="2083">
        <v>34325.32628031983</v>
      </c>
      <c r="J36" s="522">
        <v>237212.81463553352</v>
      </c>
      <c r="K36" s="530">
        <v>258469.22170475422</v>
      </c>
      <c r="L36" s="2084">
        <v>-14106.340320270654</v>
      </c>
      <c r="M36" s="2084"/>
      <c r="N36" s="529">
        <v>0</v>
      </c>
      <c r="O36" s="529">
        <v>0</v>
      </c>
      <c r="P36" s="529">
        <v>0</v>
      </c>
      <c r="Q36" s="2084">
        <v>4816.6818355409805</v>
      </c>
      <c r="R36" s="531">
        <v>17885.601046640109</v>
      </c>
      <c r="S36" s="531"/>
      <c r="T36" s="2086">
        <v>17885.601046640109</v>
      </c>
      <c r="U36" s="2239">
        <v>0</v>
      </c>
      <c r="V36" s="527">
        <v>13068.919211099128</v>
      </c>
      <c r="W36" t="s">
        <v>1050</v>
      </c>
    </row>
    <row r="37" spans="1:23" ht="17.25" customHeight="1">
      <c r="A37" s="465" t="s">
        <v>1051</v>
      </c>
      <c r="B37" s="203" t="s">
        <v>1031</v>
      </c>
      <c r="C37" s="439" t="s">
        <v>1076</v>
      </c>
      <c r="D37" s="420">
        <v>2017</v>
      </c>
      <c r="E37" s="2082">
        <v>0</v>
      </c>
      <c r="F37" s="521">
        <v>0</v>
      </c>
      <c r="G37" s="521">
        <v>0</v>
      </c>
      <c r="H37" s="204"/>
      <c r="I37" s="2083">
        <v>5274.6750566409028</v>
      </c>
      <c r="J37" s="522">
        <v>38869.681930319995</v>
      </c>
      <c r="K37" s="530">
        <v>42352.755907716528</v>
      </c>
      <c r="L37" s="2084">
        <v>-2215.643000745833</v>
      </c>
      <c r="M37" s="2084"/>
      <c r="N37" s="529">
        <v>0</v>
      </c>
      <c r="O37" s="529">
        <v>0</v>
      </c>
      <c r="P37" s="529">
        <v>0</v>
      </c>
      <c r="Q37" s="2084">
        <v>660.3126268929019</v>
      </c>
      <c r="R37" s="531">
        <v>2451.9137061372721</v>
      </c>
      <c r="S37" s="531"/>
      <c r="T37" s="2086">
        <v>2451.9137061372721</v>
      </c>
      <c r="U37" s="2239">
        <v>0</v>
      </c>
      <c r="V37" s="527">
        <v>1791.6010792443703</v>
      </c>
      <c r="W37" t="s">
        <v>1051</v>
      </c>
    </row>
    <row r="38" spans="1:23" ht="17.25" customHeight="1">
      <c r="A38" s="465" t="s">
        <v>1052</v>
      </c>
      <c r="B38" s="203" t="s">
        <v>1031</v>
      </c>
      <c r="C38" s="439" t="s">
        <v>1077</v>
      </c>
      <c r="D38" s="420">
        <v>2018</v>
      </c>
      <c r="E38" s="2082">
        <v>0</v>
      </c>
      <c r="F38" s="521">
        <v>0</v>
      </c>
      <c r="G38" s="521">
        <v>0</v>
      </c>
      <c r="H38" s="204"/>
      <c r="I38" s="2083">
        <v>4353.4953927763054</v>
      </c>
      <c r="J38" s="522">
        <v>29221.837506612781</v>
      </c>
      <c r="K38" s="530">
        <v>31840.377631881955</v>
      </c>
      <c r="L38" s="2084">
        <v>-1729.1721433936546</v>
      </c>
      <c r="M38" s="2084"/>
      <c r="N38" s="529">
        <v>0</v>
      </c>
      <c r="O38" s="529">
        <v>0</v>
      </c>
      <c r="P38" s="529">
        <v>0</v>
      </c>
      <c r="Q38" s="2084">
        <v>639.43524230990511</v>
      </c>
      <c r="R38" s="531">
        <v>2374.3905098170371</v>
      </c>
      <c r="S38" s="531"/>
      <c r="T38" s="2086">
        <v>2374.3905098170371</v>
      </c>
      <c r="U38" s="2239">
        <v>0</v>
      </c>
      <c r="V38" s="527">
        <v>1734.9552675071318</v>
      </c>
      <c r="W38" t="s">
        <v>1052</v>
      </c>
    </row>
    <row r="39" spans="1:23" ht="17.25" customHeight="1">
      <c r="A39" s="465" t="s">
        <v>1053</v>
      </c>
      <c r="B39" s="203" t="s">
        <v>1031</v>
      </c>
      <c r="C39" s="439" t="s">
        <v>1078</v>
      </c>
      <c r="D39" s="420">
        <v>2018</v>
      </c>
      <c r="E39" s="2082">
        <v>0</v>
      </c>
      <c r="F39" s="521">
        <v>0</v>
      </c>
      <c r="G39" s="521">
        <v>0</v>
      </c>
      <c r="H39" s="204"/>
      <c r="I39" s="2083">
        <v>23177.042571586848</v>
      </c>
      <c r="J39" s="522">
        <v>139246.98206094198</v>
      </c>
      <c r="K39" s="530">
        <v>151724.7672025061</v>
      </c>
      <c r="L39" s="2084">
        <v>-7984.0351805265236</v>
      </c>
      <c r="M39" s="2084"/>
      <c r="N39" s="529">
        <v>0</v>
      </c>
      <c r="O39" s="529">
        <v>0</v>
      </c>
      <c r="P39" s="529">
        <v>0</v>
      </c>
      <c r="Q39" s="2084">
        <v>3943.3191134275239</v>
      </c>
      <c r="R39" s="531">
        <v>14642.576543450252</v>
      </c>
      <c r="S39" s="531"/>
      <c r="T39" s="2086">
        <v>14642.576543450252</v>
      </c>
      <c r="U39" s="2239">
        <v>0</v>
      </c>
      <c r="V39" s="527">
        <v>10699.257430022728</v>
      </c>
      <c r="W39" t="s">
        <v>1053</v>
      </c>
    </row>
    <row r="40" spans="1:23" ht="17.25" customHeight="1">
      <c r="A40" s="465" t="s">
        <v>1054</v>
      </c>
      <c r="B40" s="203" t="s">
        <v>1031</v>
      </c>
      <c r="C40" s="439" t="s">
        <v>1079</v>
      </c>
      <c r="D40" s="420">
        <v>2018</v>
      </c>
      <c r="E40" s="2082">
        <v>0</v>
      </c>
      <c r="F40" s="521">
        <v>0</v>
      </c>
      <c r="G40" s="521">
        <v>0</v>
      </c>
      <c r="H40" s="204"/>
      <c r="I40" s="2083">
        <v>23394.646186377213</v>
      </c>
      <c r="J40" s="522">
        <v>160015.31969863496</v>
      </c>
      <c r="K40" s="530">
        <v>174354.13515450186</v>
      </c>
      <c r="L40" s="2084">
        <v>-10514.571309897728</v>
      </c>
      <c r="M40" s="2084"/>
      <c r="N40" s="529">
        <v>0</v>
      </c>
      <c r="O40" s="529">
        <v>0</v>
      </c>
      <c r="P40" s="529">
        <v>0</v>
      </c>
      <c r="Q40" s="2084">
        <v>3337.6176469388711</v>
      </c>
      <c r="R40" s="531">
        <v>12393.448377449193</v>
      </c>
      <c r="S40" s="531"/>
      <c r="T40" s="2086">
        <v>12393.448377449193</v>
      </c>
      <c r="U40" s="2239">
        <v>0</v>
      </c>
      <c r="V40" s="527">
        <v>9055.8307305103226</v>
      </c>
      <c r="W40" t="s">
        <v>1054</v>
      </c>
    </row>
    <row r="41" spans="1:23" ht="17.25" customHeight="1">
      <c r="A41" s="465" t="s">
        <v>1055</v>
      </c>
      <c r="B41" s="203" t="s">
        <v>1031</v>
      </c>
      <c r="C41" s="439" t="s">
        <v>1080</v>
      </c>
      <c r="D41" s="420">
        <v>2018</v>
      </c>
      <c r="E41" s="2082">
        <v>0</v>
      </c>
      <c r="F41" s="521">
        <v>0</v>
      </c>
      <c r="G41" s="521">
        <v>0</v>
      </c>
      <c r="H41" s="204"/>
      <c r="I41" s="2083">
        <v>6594.44507452588</v>
      </c>
      <c r="J41" s="522">
        <v>35325.720392380754</v>
      </c>
      <c r="K41" s="530">
        <v>38491.223461123627</v>
      </c>
      <c r="L41" s="2084">
        <v>-1489.4491605412768</v>
      </c>
      <c r="M41" s="2084"/>
      <c r="N41" s="529">
        <v>0</v>
      </c>
      <c r="O41" s="529">
        <v>0</v>
      </c>
      <c r="P41" s="529">
        <v>0</v>
      </c>
      <c r="Q41" s="2084">
        <v>1263.7711204421332</v>
      </c>
      <c r="R41" s="531">
        <v>4692.7131262251396</v>
      </c>
      <c r="S41" s="531"/>
      <c r="T41" s="2086">
        <v>4692.7131262251396</v>
      </c>
      <c r="U41" s="2239">
        <v>0</v>
      </c>
      <c r="V41" s="527">
        <v>3428.9420057830066</v>
      </c>
      <c r="W41" t="s">
        <v>1055</v>
      </c>
    </row>
    <row r="42" spans="1:23" ht="17.25" customHeight="1">
      <c r="A42" s="465" t="s">
        <v>1256</v>
      </c>
      <c r="B42" s="203" t="s">
        <v>1031</v>
      </c>
      <c r="C42" s="439" t="s">
        <v>1258</v>
      </c>
      <c r="D42" s="420">
        <v>2019</v>
      </c>
      <c r="E42" s="2082">
        <v>0</v>
      </c>
      <c r="F42" s="521">
        <v>0</v>
      </c>
      <c r="G42" s="521">
        <v>0</v>
      </c>
      <c r="H42" s="204"/>
      <c r="I42" s="2083">
        <v>151961.39676511416</v>
      </c>
      <c r="J42" s="522">
        <v>999106.4230405502</v>
      </c>
      <c r="K42" s="530">
        <v>1088635.3671924642</v>
      </c>
      <c r="L42" s="2084">
        <v>-67227.383822160074</v>
      </c>
      <c r="M42" s="2084"/>
      <c r="N42" s="529">
        <v>0</v>
      </c>
      <c r="O42" s="529">
        <v>0</v>
      </c>
      <c r="P42" s="529">
        <v>0</v>
      </c>
      <c r="Q42" s="2084">
        <v>23010.109374222942</v>
      </c>
      <c r="R42" s="531">
        <v>85442.56198742312</v>
      </c>
      <c r="S42" s="531"/>
      <c r="T42" s="2086">
        <v>85442.56198742312</v>
      </c>
      <c r="U42" s="2239">
        <v>0</v>
      </c>
      <c r="V42" s="527">
        <v>62432.452613200177</v>
      </c>
      <c r="W42" t="s">
        <v>1256</v>
      </c>
    </row>
    <row r="43" spans="1:23" ht="17.25" customHeight="1">
      <c r="A43" s="465" t="s">
        <v>1257</v>
      </c>
      <c r="B43" s="203" t="s">
        <v>1031</v>
      </c>
      <c r="C43" s="439" t="s">
        <v>1259</v>
      </c>
      <c r="D43" s="420">
        <v>2019</v>
      </c>
      <c r="E43" s="2082">
        <v>0</v>
      </c>
      <c r="F43" s="521">
        <v>0</v>
      </c>
      <c r="G43" s="521">
        <v>0</v>
      </c>
      <c r="H43" s="204"/>
      <c r="I43" s="2083">
        <v>80133.445066016866</v>
      </c>
      <c r="J43" s="522">
        <v>606929.23798117461</v>
      </c>
      <c r="K43" s="530">
        <v>661315.57020593982</v>
      </c>
      <c r="L43" s="2084">
        <v>-43188.135961349122</v>
      </c>
      <c r="M43" s="2084"/>
      <c r="N43" s="529">
        <v>0</v>
      </c>
      <c r="O43" s="529">
        <v>0</v>
      </c>
      <c r="P43" s="529">
        <v>0</v>
      </c>
      <c r="Q43" s="2084">
        <v>9489.3578219350529</v>
      </c>
      <c r="R43" s="531">
        <v>35236.470663186708</v>
      </c>
      <c r="S43" s="531"/>
      <c r="T43" s="2086">
        <v>35236.470663186708</v>
      </c>
      <c r="U43" s="2239">
        <v>0</v>
      </c>
      <c r="V43" s="527">
        <v>25747.112841251655</v>
      </c>
      <c r="W43" t="s">
        <v>1257</v>
      </c>
    </row>
    <row r="44" spans="1:23" ht="17.25" customHeight="1">
      <c r="A44" s="465" t="s">
        <v>1272</v>
      </c>
      <c r="B44" s="203" t="s">
        <v>1031</v>
      </c>
      <c r="C44" s="439" t="s">
        <v>1273</v>
      </c>
      <c r="D44" s="420">
        <v>2020</v>
      </c>
      <c r="E44" s="2082">
        <v>0</v>
      </c>
      <c r="F44" s="521">
        <v>0</v>
      </c>
      <c r="G44" s="521">
        <v>0</v>
      </c>
      <c r="H44" s="204"/>
      <c r="I44" s="2083">
        <v>47872.300315590575</v>
      </c>
      <c r="J44" s="522">
        <v>276254.24421086669</v>
      </c>
      <c r="K44" s="530">
        <v>301009.11539507488</v>
      </c>
      <c r="L44" s="2084">
        <v>-21291.156875939749</v>
      </c>
      <c r="M44" s="2084"/>
      <c r="N44" s="529">
        <v>0</v>
      </c>
      <c r="O44" s="529">
        <v>0</v>
      </c>
      <c r="P44" s="529">
        <v>0</v>
      </c>
      <c r="Q44" s="2084">
        <v>8520.1613984245196</v>
      </c>
      <c r="R44" s="531">
        <v>31637.590529806897</v>
      </c>
      <c r="S44" s="531"/>
      <c r="T44" s="2086">
        <v>31637.590529806897</v>
      </c>
      <c r="U44" s="2239">
        <v>0</v>
      </c>
      <c r="V44" s="527">
        <v>23117.429131382378</v>
      </c>
      <c r="W44" t="s">
        <v>1272</v>
      </c>
    </row>
    <row r="45" spans="1:23" ht="17.25" customHeight="1">
      <c r="A45" s="465" t="s">
        <v>1407</v>
      </c>
      <c r="B45" s="203" t="s">
        <v>1031</v>
      </c>
      <c r="C45" s="439" t="s">
        <v>1555</v>
      </c>
      <c r="D45" s="420">
        <v>2022</v>
      </c>
      <c r="E45" s="2082"/>
      <c r="F45" s="521"/>
      <c r="G45" s="521"/>
      <c r="H45" s="204"/>
      <c r="I45" s="2083">
        <v>4837.306098680694</v>
      </c>
      <c r="J45" s="522">
        <v>-116412.22360193382</v>
      </c>
      <c r="K45" s="530">
        <v>-126843.80849129913</v>
      </c>
      <c r="L45" s="2084">
        <v>-6005.9184916494705</v>
      </c>
      <c r="M45" s="2084"/>
      <c r="N45" s="529"/>
      <c r="O45" s="529"/>
      <c r="P45" s="529"/>
      <c r="Q45" s="2084">
        <v>5627.5035971234875</v>
      </c>
      <c r="R45" s="531">
        <v>20896.394585169499</v>
      </c>
      <c r="S45" s="531"/>
      <c r="T45" s="2086">
        <v>20896.394585169499</v>
      </c>
      <c r="U45" s="2239">
        <v>0</v>
      </c>
      <c r="V45" s="527">
        <v>15268.890988046011</v>
      </c>
      <c r="W45" t="s">
        <v>1407</v>
      </c>
    </row>
    <row r="46" spans="1:23" ht="17.25" customHeight="1">
      <c r="A46" s="465" t="s">
        <v>1552</v>
      </c>
      <c r="B46" s="203" t="s">
        <v>1031</v>
      </c>
      <c r="C46" s="439" t="s">
        <v>1408</v>
      </c>
      <c r="D46" s="420">
        <v>2022</v>
      </c>
      <c r="E46" s="2082"/>
      <c r="F46" s="521"/>
      <c r="G46" s="521"/>
      <c r="H46" s="204"/>
      <c r="I46" s="2083">
        <v>-13430.167216656555</v>
      </c>
      <c r="J46" s="522">
        <v>225044.3195541093</v>
      </c>
      <c r="K46" s="530">
        <v>245210.31974430883</v>
      </c>
      <c r="L46" s="2084">
        <v>-5523.2840683908871</v>
      </c>
      <c r="M46" s="2084"/>
      <c r="N46" s="529"/>
      <c r="O46" s="529"/>
      <c r="P46" s="529"/>
      <c r="Q46" s="2084">
        <v>-12382.205955865571</v>
      </c>
      <c r="R46" s="531">
        <v>-45978.373362721657</v>
      </c>
      <c r="S46" s="531"/>
      <c r="T46" s="2086">
        <v>-45978.373362721657</v>
      </c>
      <c r="V46" s="527">
        <v>-33596.167406856082</v>
      </c>
      <c r="W46" t="s">
        <v>1552</v>
      </c>
    </row>
    <row r="47" spans="1:23" ht="17.25" customHeight="1">
      <c r="A47" s="465" t="s">
        <v>1553</v>
      </c>
      <c r="B47" s="203" t="s">
        <v>1031</v>
      </c>
      <c r="C47" s="439" t="s">
        <v>1554</v>
      </c>
      <c r="D47" s="420">
        <v>2022</v>
      </c>
      <c r="E47" s="2082"/>
      <c r="F47" s="521"/>
      <c r="G47" s="521"/>
      <c r="H47" s="204"/>
      <c r="I47" s="2083">
        <v>-558.45412431117984</v>
      </c>
      <c r="J47" s="522">
        <v>10326.89037707541</v>
      </c>
      <c r="K47" s="530">
        <v>11252.272869381333</v>
      </c>
      <c r="L47" s="2084">
        <v>-185.21461527192605</v>
      </c>
      <c r="M47" s="2084"/>
      <c r="N47" s="529"/>
      <c r="O47" s="529"/>
      <c r="P47" s="529"/>
      <c r="Q47" s="2084">
        <v>-546.88293367826964</v>
      </c>
      <c r="R47" s="531">
        <v>-2030.7195502953732</v>
      </c>
      <c r="S47" s="531"/>
      <c r="T47" s="2086">
        <v>-2030.7195502953732</v>
      </c>
      <c r="V47" s="527">
        <v>-1483.8366166171036</v>
      </c>
      <c r="W47" t="s">
        <v>1553</v>
      </c>
    </row>
    <row r="48" spans="1:23" ht="17.25" customHeight="1">
      <c r="A48" s="465" t="s">
        <v>1903</v>
      </c>
      <c r="B48" s="203" t="s">
        <v>1031</v>
      </c>
      <c r="C48" s="439" t="s">
        <v>1904</v>
      </c>
      <c r="D48" s="420">
        <v>2024</v>
      </c>
      <c r="E48" s="2082"/>
      <c r="F48" s="521"/>
      <c r="G48" s="521"/>
      <c r="H48" s="204"/>
      <c r="I48" s="2083">
        <v>314900.97922555183</v>
      </c>
      <c r="J48" s="522">
        <v>222415.29712588375</v>
      </c>
      <c r="K48" s="530">
        <v>242345.71320139567</v>
      </c>
      <c r="L48" s="2084"/>
      <c r="M48" s="2084"/>
      <c r="N48" s="529"/>
      <c r="O48" s="529"/>
      <c r="P48" s="529"/>
      <c r="Q48" s="2084">
        <v>108714.37267264274</v>
      </c>
      <c r="R48" s="531">
        <v>403684.93582268263</v>
      </c>
      <c r="S48" s="531"/>
      <c r="T48" s="2086">
        <v>403684.93582268263</v>
      </c>
      <c r="V48" s="527">
        <v>294970.56315003987</v>
      </c>
      <c r="W48" s="204" t="str">
        <f t="shared" ref="W48:W51" si="0">A48</f>
        <v>P.032</v>
      </c>
    </row>
    <row r="49" spans="1:23" ht="17.25" customHeight="1">
      <c r="A49" s="465" t="s">
        <v>1905</v>
      </c>
      <c r="B49" s="203" t="s">
        <v>1031</v>
      </c>
      <c r="C49" s="439" t="s">
        <v>1906</v>
      </c>
      <c r="D49" s="420">
        <v>2025</v>
      </c>
      <c r="E49" s="2082"/>
      <c r="F49" s="521"/>
      <c r="G49" s="521"/>
      <c r="H49" s="204"/>
      <c r="I49" s="2083">
        <v>-25.762152486776909</v>
      </c>
      <c r="J49" s="522">
        <v>25.762152486776909</v>
      </c>
      <c r="K49" s="530">
        <v>28.070673639310954</v>
      </c>
      <c r="L49" s="2084"/>
      <c r="M49" s="2084"/>
      <c r="N49" s="529"/>
      <c r="O49" s="529"/>
      <c r="P49" s="529"/>
      <c r="Q49" s="2084">
        <v>-10.345729562322148</v>
      </c>
      <c r="R49" s="531">
        <v>-38.416403201633102</v>
      </c>
      <c r="S49" s="531"/>
      <c r="T49" s="2086">
        <v>-38.416403201633102</v>
      </c>
      <c r="V49" s="527">
        <v>-28.070673639310954</v>
      </c>
      <c r="W49" s="204" t="str">
        <f t="shared" si="0"/>
        <v>P.033</v>
      </c>
    </row>
    <row r="50" spans="1:23" ht="17.25" customHeight="1">
      <c r="A50" s="465" t="s">
        <v>1907</v>
      </c>
      <c r="B50" s="203" t="s">
        <v>1031</v>
      </c>
      <c r="C50" s="439" t="s">
        <v>1908</v>
      </c>
      <c r="D50" s="420">
        <v>2025</v>
      </c>
      <c r="E50" s="2082"/>
      <c r="F50" s="521"/>
      <c r="G50" s="521"/>
      <c r="H50" s="204"/>
      <c r="I50" s="2083">
        <v>0</v>
      </c>
      <c r="J50" s="522">
        <v>0</v>
      </c>
      <c r="K50" s="530"/>
      <c r="L50" s="2084"/>
      <c r="M50" s="2084"/>
      <c r="N50" s="529"/>
      <c r="O50" s="529"/>
      <c r="P50" s="529"/>
      <c r="Q50" s="2084">
        <v>0</v>
      </c>
      <c r="R50" s="531">
        <v>0</v>
      </c>
      <c r="S50" s="531"/>
      <c r="T50" s="2086">
        <v>0</v>
      </c>
      <c r="V50" s="527">
        <v>0</v>
      </c>
      <c r="W50" s="204" t="str">
        <f t="shared" si="0"/>
        <v>P.034</v>
      </c>
    </row>
    <row r="51" spans="1:23" ht="17.25" customHeight="1">
      <c r="A51" s="465" t="s">
        <v>1909</v>
      </c>
      <c r="B51" s="203" t="s">
        <v>1031</v>
      </c>
      <c r="C51" s="439" t="s">
        <v>1910</v>
      </c>
      <c r="D51" s="420">
        <v>2024</v>
      </c>
      <c r="E51" s="2082"/>
      <c r="F51" s="521"/>
      <c r="G51" s="521"/>
      <c r="H51" s="204"/>
      <c r="I51" s="2083">
        <v>158070.9581257196</v>
      </c>
      <c r="J51" s="522"/>
      <c r="K51" s="530"/>
      <c r="L51" s="2084"/>
      <c r="M51" s="2084"/>
      <c r="N51" s="529"/>
      <c r="O51" s="529"/>
      <c r="P51" s="529"/>
      <c r="Q51" s="2084">
        <v>58258.644072425857</v>
      </c>
      <c r="R51" s="531">
        <v>218486.82811236999</v>
      </c>
      <c r="S51" s="531"/>
      <c r="T51" s="2086">
        <v>218486.82811236999</v>
      </c>
      <c r="V51" s="527">
        <v>158070.9581257196</v>
      </c>
      <c r="W51" s="204" t="str">
        <f t="shared" si="0"/>
        <v>P.035</v>
      </c>
    </row>
    <row r="52" spans="1:23" ht="17.25" customHeight="1">
      <c r="A52" s="465"/>
      <c r="B52" s="203"/>
      <c r="C52" s="439"/>
      <c r="D52" s="420"/>
      <c r="E52" s="520"/>
      <c r="F52" s="520"/>
      <c r="G52" s="524"/>
      <c r="H52" s="204"/>
      <c r="I52" s="535"/>
      <c r="J52" s="535"/>
      <c r="K52" s="523"/>
      <c r="L52" s="523"/>
      <c r="M52" s="524"/>
      <c r="N52" s="524"/>
      <c r="O52" s="524"/>
      <c r="P52" s="524"/>
      <c r="Q52" s="523"/>
      <c r="R52" s="532"/>
      <c r="S52" s="533"/>
      <c r="T52" s="534"/>
      <c r="V52" s="527"/>
    </row>
    <row r="53" spans="1:23" ht="13">
      <c r="A53" s="441"/>
      <c r="B53" s="204"/>
      <c r="C53" s="204"/>
      <c r="D53" s="203"/>
      <c r="E53" s="536"/>
      <c r="F53" s="536"/>
      <c r="G53" s="536"/>
      <c r="H53" s="532"/>
      <c r="I53" s="537"/>
      <c r="J53" s="537"/>
      <c r="K53" s="536"/>
      <c r="L53" s="536"/>
      <c r="M53" s="536"/>
      <c r="N53" s="536"/>
      <c r="O53" s="536"/>
      <c r="P53" s="536"/>
      <c r="Q53" s="536"/>
      <c r="R53" s="536"/>
      <c r="S53" s="532"/>
      <c r="T53" s="538"/>
      <c r="V53" s="539"/>
    </row>
    <row r="54" spans="1:23" ht="13.5" thickBot="1">
      <c r="A54" s="442"/>
      <c r="B54" s="443"/>
      <c r="C54" s="444" t="s">
        <v>967</v>
      </c>
      <c r="D54" s="445"/>
      <c r="E54" s="540">
        <f>SUM(E17:E53)</f>
        <v>0</v>
      </c>
      <c r="F54" s="540">
        <f>SUM(F17:F53)</f>
        <v>0</v>
      </c>
      <c r="G54" s="540">
        <f>SUM(G17:G53)</f>
        <v>0</v>
      </c>
      <c r="H54" s="540"/>
      <c r="I54" s="541">
        <f>SUM(I17:I53)</f>
        <v>1637447.6833718121</v>
      </c>
      <c r="J54" s="541">
        <f>SUM(J17:J53)</f>
        <v>8210155.6580343777</v>
      </c>
      <c r="K54" s="540">
        <f>SUM(K17:K53)</f>
        <v>8945859.6335425489</v>
      </c>
      <c r="L54" s="540"/>
      <c r="M54" s="540">
        <f>SUM(M17:M53)</f>
        <v>0</v>
      </c>
      <c r="N54" s="540">
        <f>SUM(N17:N53)</f>
        <v>0</v>
      </c>
      <c r="O54" s="540">
        <f>SUM(O17:O53)</f>
        <v>0</v>
      </c>
      <c r="P54" s="540"/>
      <c r="Q54" s="542">
        <f>-'PSO WS N Sch 11 TU'!P64</f>
        <v>332346.7279751352</v>
      </c>
      <c r="R54" s="540">
        <f>SUM(R17:R53)</f>
        <v>1236247.6617530026</v>
      </c>
      <c r="S54" s="540"/>
      <c r="T54" s="543">
        <f>SUM(T17:T53)</f>
        <v>1236247.6617530026</v>
      </c>
      <c r="U54" s="543">
        <f>SUM(U17:U53)</f>
        <v>0</v>
      </c>
      <c r="V54" s="544">
        <f>SUM(V17:V53)</f>
        <v>901743.70786364272</v>
      </c>
      <c r="W54" s="545"/>
    </row>
    <row r="55" spans="1:23" ht="13.5" thickBot="1">
      <c r="A55" s="204"/>
      <c r="B55" s="204"/>
      <c r="C55" s="446"/>
      <c r="D55" s="204"/>
      <c r="E55" s="546"/>
      <c r="F55" s="547"/>
      <c r="G55" s="547"/>
      <c r="H55" s="204"/>
      <c r="I55" s="548"/>
      <c r="J55" s="549"/>
      <c r="K55" s="550"/>
      <c r="L55" s="550"/>
      <c r="M55" s="550"/>
      <c r="N55" s="550"/>
      <c r="O55" s="550"/>
      <c r="P55" s="550"/>
      <c r="Q55" s="551"/>
      <c r="R55" s="547"/>
      <c r="S55" s="547"/>
      <c r="T55" s="547"/>
      <c r="V55" s="552"/>
      <c r="W55" s="545"/>
    </row>
    <row r="56" spans="1:23" ht="14">
      <c r="A56" s="204"/>
      <c r="B56" s="204"/>
      <c r="C56" s="449" t="s">
        <v>691</v>
      </c>
      <c r="D56" s="204"/>
      <c r="E56" s="547"/>
      <c r="F56" s="547"/>
      <c r="G56" s="547"/>
      <c r="H56" s="204"/>
      <c r="I56" s="2252"/>
      <c r="J56" s="2253"/>
      <c r="K56" s="2254"/>
      <c r="L56" s="2254"/>
      <c r="M56" s="2254"/>
      <c r="N56" s="2254"/>
      <c r="O56" s="2254"/>
      <c r="P56" s="2254"/>
      <c r="Q56" s="2254"/>
      <c r="R56" s="2254"/>
      <c r="S56" s="2254"/>
      <c r="T56" s="2254"/>
      <c r="U56" s="2255"/>
      <c r="V56" s="2255"/>
    </row>
    <row r="57" spans="1:23" ht="12.5">
      <c r="A57" s="204"/>
      <c r="B57" s="204"/>
      <c r="C57" s="449"/>
      <c r="D57" s="204"/>
      <c r="E57" s="547"/>
      <c r="F57" s="547"/>
      <c r="G57" s="547"/>
      <c r="H57" s="204"/>
      <c r="I57" s="450"/>
      <c r="J57" s="553"/>
      <c r="K57" s="204"/>
      <c r="L57" s="204"/>
      <c r="M57" s="550"/>
      <c r="N57" s="550"/>
      <c r="O57" s="550"/>
      <c r="P57" s="550"/>
      <c r="Q57" s="554"/>
      <c r="R57" s="550"/>
      <c r="S57" s="204"/>
      <c r="T57" s="204"/>
    </row>
    <row r="58" spans="1:23" ht="14">
      <c r="E58" s="555"/>
      <c r="F58" s="555"/>
      <c r="G58" s="555"/>
      <c r="I58" s="2256"/>
      <c r="J58" s="2256"/>
      <c r="K58" s="2256"/>
      <c r="L58" s="2256"/>
      <c r="M58" s="2256"/>
      <c r="N58" s="2256"/>
      <c r="O58" s="2256"/>
      <c r="P58" s="2256"/>
      <c r="Q58" s="2256"/>
      <c r="R58" s="2256"/>
      <c r="S58" s="2256"/>
      <c r="T58" s="2256"/>
      <c r="U58" s="2256"/>
      <c r="V58" s="2256"/>
    </row>
    <row r="61" spans="1:23" ht="12.75" customHeight="1">
      <c r="C61" s="463" t="s">
        <v>1026</v>
      </c>
      <c r="D61" s="203"/>
      <c r="E61" s="525"/>
      <c r="F61" s="525"/>
      <c r="G61" s="525"/>
      <c r="H61" s="525"/>
      <c r="I61" s="525"/>
      <c r="J61" s="525"/>
      <c r="K61" s="520"/>
      <c r="L61" s="525"/>
      <c r="M61" s="525"/>
      <c r="N61" s="525"/>
      <c r="O61" s="525"/>
      <c r="P61" s="525"/>
    </row>
    <row r="62" spans="1:23" ht="12.75" customHeight="1">
      <c r="C62" s="420" t="s">
        <v>1280</v>
      </c>
      <c r="D62" s="203"/>
      <c r="E62" s="556"/>
      <c r="F62" s="556"/>
      <c r="G62" s="556"/>
      <c r="H62" s="531"/>
      <c r="I62" s="556">
        <f>+I54</f>
        <v>1637447.6833718121</v>
      </c>
      <c r="J62" s="556">
        <f>+J54</f>
        <v>8210155.6580343777</v>
      </c>
      <c r="K62" s="556">
        <f>+K54</f>
        <v>8945859.6335425489</v>
      </c>
      <c r="L62" s="525"/>
      <c r="M62" s="556"/>
      <c r="N62" s="556"/>
      <c r="O62" s="556"/>
      <c r="P62" s="556"/>
    </row>
    <row r="63" spans="1:23" ht="12.75" customHeight="1">
      <c r="C63" s="465" t="s">
        <v>1027</v>
      </c>
      <c r="D63" s="203"/>
      <c r="E63" s="531"/>
      <c r="F63" s="531"/>
      <c r="G63" s="531"/>
      <c r="H63" s="531"/>
      <c r="I63" s="531">
        <f>I56+I62</f>
        <v>1637447.6833718121</v>
      </c>
      <c r="J63" s="531">
        <f>J56+J62</f>
        <v>8210155.6580343777</v>
      </c>
      <c r="K63" s="531">
        <f>K56+K62</f>
        <v>8945859.6335425489</v>
      </c>
      <c r="L63" s="531">
        <f>L56+L62</f>
        <v>0</v>
      </c>
      <c r="M63" s="531"/>
      <c r="N63" s="531"/>
      <c r="O63" s="531"/>
      <c r="P63" s="531"/>
    </row>
    <row r="64" spans="1:23" ht="12.75" customHeight="1">
      <c r="C64" s="449"/>
      <c r="D64" s="204"/>
      <c r="E64" s="525"/>
      <c r="F64" s="525"/>
      <c r="G64" s="525"/>
      <c r="H64" s="204"/>
      <c r="J64" s="450"/>
      <c r="K64" s="1827"/>
      <c r="L64" s="204"/>
      <c r="M64" s="204"/>
      <c r="N64" s="557"/>
      <c r="O64" s="557"/>
      <c r="P64" s="557"/>
    </row>
    <row r="65" spans="5:23" ht="12.75" customHeight="1">
      <c r="E65" s="558"/>
      <c r="F65" s="558"/>
      <c r="G65" s="558"/>
    </row>
    <row r="66" spans="5:23" ht="12.75" customHeight="1">
      <c r="E66" s="558"/>
      <c r="F66" s="558"/>
      <c r="G66" s="558"/>
      <c r="I66" s="2096"/>
      <c r="J66" s="2447">
        <v>102740848.41000003</v>
      </c>
      <c r="K66" s="559" t="s">
        <v>1274</v>
      </c>
    </row>
    <row r="67" spans="5:23" ht="12.75" customHeight="1">
      <c r="E67" s="558"/>
      <c r="F67" s="558"/>
      <c r="G67" s="558"/>
      <c r="I67" s="2097"/>
      <c r="J67" s="2448">
        <v>9434726.9029453695</v>
      </c>
      <c r="K67" s="560" t="s">
        <v>1028</v>
      </c>
    </row>
    <row r="68" spans="5:23" ht="12.75" customHeight="1">
      <c r="E68" s="518"/>
      <c r="F68" s="518"/>
      <c r="G68" s="518"/>
      <c r="H68" s="515"/>
      <c r="I68" s="2098"/>
      <c r="J68" s="2448">
        <v>93306121.507054657</v>
      </c>
      <c r="K68" s="519" t="s">
        <v>1029</v>
      </c>
      <c r="L68" s="515"/>
      <c r="M68" s="515"/>
      <c r="N68" s="515"/>
      <c r="O68" s="515"/>
      <c r="P68" s="515"/>
      <c r="Q68" s="515"/>
      <c r="R68" s="515"/>
      <c r="S68" s="515"/>
      <c r="T68" s="515"/>
      <c r="U68" s="515"/>
      <c r="V68" s="515"/>
      <c r="W68" s="515"/>
    </row>
    <row r="71" spans="5:23" ht="12.75" customHeight="1">
      <c r="J71" s="464"/>
    </row>
    <row r="72" spans="5:23" ht="12.75" customHeight="1">
      <c r="J72" s="464"/>
    </row>
    <row r="73" spans="5:23" ht="12.75" customHeight="1">
      <c r="J73" s="466"/>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Formula Rate
Schedule 11 Revenue Requirements
Public Service Company of Oklahoma
Page: &amp;P of &amp;N
</oddHeader>
    <oddFooter>&amp;L&amp;A</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70"/>
  <sheetViews>
    <sheetView zoomScaleNormal="100" workbookViewId="0">
      <selection activeCell="D13" sqref="D13"/>
    </sheetView>
  </sheetViews>
  <sheetFormatPr defaultColWidth="9.1796875" defaultRowHeight="12.5"/>
  <cols>
    <col min="1" max="1" width="1.54296875" style="286" customWidth="1"/>
    <col min="2" max="2" width="25.1796875" style="286" customWidth="1"/>
    <col min="3" max="3" width="1.54296875" style="286" customWidth="1"/>
    <col min="4" max="4" width="22.54296875" style="286" customWidth="1"/>
    <col min="5" max="5" width="1.54296875" style="286" customWidth="1"/>
    <col min="6" max="6" width="24.81640625" style="286" customWidth="1"/>
    <col min="7" max="7" width="1.54296875" style="286"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3" style="286" hidden="1" customWidth="1"/>
    <col min="19" max="19" width="9.1796875" style="286"/>
    <col min="20" max="20" width="3" style="286" bestFit="1" customWidth="1"/>
    <col min="21" max="16384" width="9.1796875" style="286"/>
  </cols>
  <sheetData>
    <row r="1" spans="1:18" ht="15.5">
      <c r="A1" s="18"/>
    </row>
    <row r="2" spans="1:18" ht="15.5">
      <c r="A2" s="342"/>
    </row>
    <row r="3" spans="1:18" ht="15.5">
      <c r="A3" s="342"/>
    </row>
    <row r="4" spans="1:18" ht="15.5">
      <c r="B4" s="2378" t="s">
        <v>644</v>
      </c>
      <c r="C4" s="2378"/>
      <c r="D4" s="2378"/>
      <c r="E4" s="2378"/>
      <c r="F4" s="2378"/>
      <c r="G4" s="2378"/>
      <c r="H4" s="2378"/>
      <c r="I4" s="2378"/>
      <c r="J4" s="2378"/>
      <c r="K4" s="2378"/>
      <c r="L4" s="2378"/>
      <c r="M4" s="2378"/>
      <c r="N4" s="2378"/>
      <c r="O4" s="2378"/>
      <c r="P4" s="2378"/>
    </row>
    <row r="5" spans="1:18" ht="15.5">
      <c r="B5" s="2379" t="str">
        <f>+'PSO WS A-1 - Plant'!A3</f>
        <v xml:space="preserve">Actual / Projected 2024 Rate Year Cost of Service Formula Rate </v>
      </c>
      <c r="C5" s="2379"/>
      <c r="D5" s="2379"/>
      <c r="E5" s="2379"/>
      <c r="F5" s="2379"/>
      <c r="G5" s="2379"/>
      <c r="H5" s="2379"/>
      <c r="I5" s="2379"/>
      <c r="J5" s="2379"/>
      <c r="K5" s="2379"/>
      <c r="L5" s="2379"/>
      <c r="M5" s="2379"/>
      <c r="N5" s="2379"/>
      <c r="O5" s="2379"/>
      <c r="P5" s="2379"/>
    </row>
    <row r="6" spans="1:18" ht="15.5">
      <c r="B6" s="2382" t="s">
        <v>944</v>
      </c>
      <c r="C6" s="2382"/>
      <c r="D6" s="2382"/>
      <c r="E6" s="2382"/>
      <c r="F6" s="2382"/>
      <c r="G6" s="2382"/>
      <c r="H6" s="2382"/>
      <c r="I6" s="2382"/>
      <c r="J6" s="2382"/>
      <c r="K6" s="2382"/>
      <c r="L6" s="2382"/>
      <c r="M6" s="2382"/>
      <c r="N6" s="2382"/>
      <c r="O6" s="2382"/>
      <c r="P6" s="2382"/>
    </row>
    <row r="7" spans="1:18" ht="15.5">
      <c r="B7" s="2383" t="str">
        <f>+'PSO TCOS'!F8</f>
        <v>PUBLIC SERVICE COMPANY OF OKLAHOMA</v>
      </c>
      <c r="C7" s="2383"/>
      <c r="D7" s="2383"/>
      <c r="E7" s="2383"/>
      <c r="F7" s="2383"/>
      <c r="G7" s="2383"/>
      <c r="H7" s="2383"/>
      <c r="I7" s="2383"/>
      <c r="J7" s="2383"/>
      <c r="K7" s="2383"/>
      <c r="L7" s="2383"/>
      <c r="M7" s="2383"/>
      <c r="N7" s="2383"/>
      <c r="O7" s="2383"/>
      <c r="P7" s="2383"/>
      <c r="Q7" s="343"/>
      <c r="R7" s="343"/>
    </row>
    <row r="8" spans="1:18">
      <c r="B8" s="344"/>
      <c r="C8" s="344"/>
      <c r="D8" s="344"/>
      <c r="E8" s="344"/>
      <c r="F8" s="344"/>
      <c r="G8" s="344"/>
      <c r="H8" s="344"/>
      <c r="I8" s="344"/>
      <c r="J8" s="344"/>
      <c r="K8" s="344"/>
      <c r="L8" s="344"/>
      <c r="M8" s="344"/>
      <c r="N8" s="344"/>
      <c r="O8" s="344"/>
      <c r="P8" s="344"/>
    </row>
    <row r="9" spans="1:18">
      <c r="B9" s="344"/>
      <c r="C9" s="344"/>
      <c r="D9" s="344"/>
      <c r="E9" s="344"/>
      <c r="F9" s="344"/>
      <c r="G9" s="344"/>
      <c r="H9" s="344"/>
      <c r="I9" s="344"/>
      <c r="J9" s="344"/>
      <c r="K9" s="344"/>
      <c r="L9" s="344"/>
      <c r="M9" s="344"/>
      <c r="N9" s="344"/>
      <c r="O9" s="344"/>
      <c r="P9" s="344"/>
    </row>
    <row r="10" spans="1:18" ht="16" thickBot="1">
      <c r="B10" s="2092"/>
      <c r="C10" s="345"/>
      <c r="D10" s="345"/>
      <c r="E10" s="345"/>
      <c r="F10" s="345"/>
      <c r="G10" s="345"/>
      <c r="H10" s="345"/>
      <c r="I10" s="345"/>
      <c r="J10" s="345"/>
      <c r="K10" s="345"/>
      <c r="O10" s="345"/>
      <c r="P10" s="345"/>
    </row>
    <row r="11" spans="1:18" ht="51">
      <c r="B11" s="401" t="str">
        <f>"True up Revenue Requirement For Year "&amp;J11&amp;" Available May, "&amp;J12</f>
        <v>True up Revenue Requirement For Year 2024 Available May, 2025</v>
      </c>
      <c r="C11" s="345"/>
      <c r="D11" s="401" t="s">
        <v>970</v>
      </c>
      <c r="E11" s="347"/>
      <c r="F11" s="346" t="s">
        <v>699</v>
      </c>
      <c r="G11" s="348"/>
      <c r="H11" s="349" t="s">
        <v>700</v>
      </c>
      <c r="I11" s="345"/>
      <c r="J11" s="400">
        <f>+'PSO TCOS'!N2</f>
        <v>2024</v>
      </c>
      <c r="K11" s="345"/>
      <c r="O11" s="348"/>
      <c r="P11" s="348"/>
    </row>
    <row r="12" spans="1:18" ht="15.5">
      <c r="B12" s="350" t="s">
        <v>254</v>
      </c>
      <c r="C12" s="345"/>
      <c r="D12" s="350"/>
      <c r="E12" s="347"/>
      <c r="F12" s="351"/>
      <c r="G12" s="348"/>
      <c r="H12" s="352" t="s">
        <v>701</v>
      </c>
      <c r="I12" s="353"/>
      <c r="J12" s="354">
        <f>J11+1</f>
        <v>2025</v>
      </c>
      <c r="O12" s="348"/>
      <c r="P12" s="348"/>
    </row>
    <row r="13" spans="1:18" ht="16" thickBot="1">
      <c r="B13" s="490">
        <f>+'Sch 1 Rates'!J22</f>
        <v>515772.68677585007</v>
      </c>
      <c r="C13" s="491" t="s">
        <v>702</v>
      </c>
      <c r="D13" s="2446">
        <v>202342.29001703879</v>
      </c>
      <c r="E13" s="492" t="s">
        <v>703</v>
      </c>
      <c r="F13" s="493">
        <f>IF(B13=0,0,D13-B13)</f>
        <v>-313430.39675881132</v>
      </c>
      <c r="G13" s="355"/>
      <c r="H13" s="349" t="s">
        <v>704</v>
      </c>
      <c r="I13" s="356"/>
      <c r="J13" s="357">
        <f>J12+1</f>
        <v>2026</v>
      </c>
      <c r="O13" s="348"/>
      <c r="P13" s="348"/>
    </row>
    <row r="14" spans="1:18" ht="15.5">
      <c r="B14" s="356"/>
      <c r="C14" s="357"/>
      <c r="D14" s="357"/>
      <c r="E14" s="356"/>
      <c r="F14" s="356"/>
      <c r="G14" s="356"/>
      <c r="H14" s="348"/>
      <c r="I14" s="348"/>
      <c r="O14" s="348"/>
      <c r="P14" s="348"/>
    </row>
    <row r="15" spans="1:18" ht="16" thickBot="1">
      <c r="B15" s="358"/>
      <c r="C15" s="359"/>
      <c r="D15" s="358"/>
      <c r="E15" s="358"/>
      <c r="F15" s="358"/>
      <c r="G15" s="358"/>
      <c r="H15" s="358"/>
      <c r="I15" s="358"/>
      <c r="J15" s="358"/>
      <c r="K15" s="358"/>
      <c r="L15" s="358"/>
      <c r="M15" s="358"/>
      <c r="N15" s="360"/>
      <c r="O15" s="360"/>
      <c r="P15" s="360"/>
    </row>
    <row r="16" spans="1:18" ht="15.5">
      <c r="B16" s="361"/>
      <c r="C16" s="357"/>
      <c r="D16" s="356"/>
      <c r="E16" s="356"/>
      <c r="F16" s="356"/>
      <c r="G16" s="356"/>
      <c r="H16" s="356"/>
      <c r="I16" s="356"/>
      <c r="J16" s="356"/>
      <c r="K16" s="356"/>
      <c r="L16" s="356"/>
      <c r="M16" s="356"/>
      <c r="N16" s="348"/>
      <c r="O16" s="348"/>
      <c r="P16" s="348"/>
    </row>
    <row r="17" spans="2:18" ht="62">
      <c r="B17" s="362" t="s">
        <v>705</v>
      </c>
      <c r="C17" s="357"/>
      <c r="D17" s="362" t="s">
        <v>706</v>
      </c>
      <c r="E17" s="362"/>
      <c r="F17" s="362" t="s">
        <v>707</v>
      </c>
      <c r="G17" s="362"/>
      <c r="H17" s="362" t="s">
        <v>708</v>
      </c>
      <c r="I17" s="356"/>
      <c r="J17" s="363" t="s">
        <v>709</v>
      </c>
      <c r="K17" s="356"/>
      <c r="L17" s="362" t="s">
        <v>948</v>
      </c>
      <c r="M17" s="364"/>
      <c r="N17" s="363" t="s">
        <v>710</v>
      </c>
      <c r="O17" s="365"/>
      <c r="P17" s="362" t="s">
        <v>712</v>
      </c>
    </row>
    <row r="18" spans="2:18" ht="15.5">
      <c r="B18" s="366"/>
      <c r="C18" s="357"/>
      <c r="D18" s="348"/>
      <c r="E18" s="348"/>
      <c r="F18" s="348"/>
      <c r="G18" s="348"/>
      <c r="H18" s="348"/>
      <c r="I18" s="367"/>
      <c r="J18" s="367"/>
      <c r="K18" s="367"/>
      <c r="L18" s="344"/>
      <c r="M18" s="344"/>
      <c r="N18" s="348"/>
      <c r="O18" s="348"/>
      <c r="P18" s="348"/>
    </row>
    <row r="19" spans="2:18" ht="15.5">
      <c r="B19" s="368" t="s">
        <v>713</v>
      </c>
      <c r="C19" s="357"/>
      <c r="D19" s="357"/>
      <c r="E19" s="357"/>
      <c r="F19" s="357"/>
      <c r="G19" s="357"/>
      <c r="H19" s="357"/>
      <c r="I19" s="357"/>
      <c r="J19" s="357"/>
      <c r="K19" s="357"/>
      <c r="L19" s="348"/>
      <c r="M19" s="348"/>
      <c r="N19" s="364"/>
      <c r="O19" s="357"/>
      <c r="P19" s="357"/>
    </row>
    <row r="20" spans="2:18" ht="15.5">
      <c r="B20" s="369" t="s">
        <v>127</v>
      </c>
      <c r="C20" s="357"/>
      <c r="D20" s="357"/>
      <c r="E20" s="357"/>
      <c r="F20" s="357"/>
      <c r="G20" s="357"/>
      <c r="H20" s="357"/>
      <c r="I20" s="357"/>
      <c r="J20" s="357"/>
      <c r="K20" s="357"/>
      <c r="L20" s="348"/>
      <c r="M20" s="348"/>
      <c r="N20" s="364"/>
      <c r="O20" s="357"/>
      <c r="P20" s="357"/>
    </row>
    <row r="21" spans="2:18" ht="15.5">
      <c r="B21" s="370">
        <f t="shared" ref="B21:B32" si="0">DATE($J$11,R21,1)</f>
        <v>45292</v>
      </c>
      <c r="C21" s="345"/>
      <c r="D21" s="479">
        <f>F13/12</f>
        <v>-26119.199729900942</v>
      </c>
      <c r="E21" s="372"/>
      <c r="F21" s="479">
        <v>0</v>
      </c>
      <c r="G21" s="371"/>
      <c r="H21" s="479">
        <v>0</v>
      </c>
      <c r="I21" s="479"/>
      <c r="J21" s="479">
        <f>F21+H21</f>
        <v>0</v>
      </c>
      <c r="K21" s="480"/>
      <c r="L21" s="481">
        <f>+'PSO WS Q Interest Rate'!E13</f>
        <v>7.1999999999999998E-3</v>
      </c>
      <c r="M21" s="482"/>
      <c r="N21" s="479">
        <f t="shared" ref="N21:N32" si="1">J21*L21</f>
        <v>0</v>
      </c>
      <c r="O21" s="479"/>
      <c r="P21" s="479">
        <f>D21+N21</f>
        <v>-26119.199729900942</v>
      </c>
      <c r="R21" s="286">
        <v>1</v>
      </c>
    </row>
    <row r="22" spans="2:18" ht="15.5">
      <c r="B22" s="370">
        <f t="shared" si="0"/>
        <v>45323</v>
      </c>
      <c r="C22" s="345"/>
      <c r="D22" s="479">
        <f>+D21</f>
        <v>-26119.199729900942</v>
      </c>
      <c r="E22" s="372"/>
      <c r="F22" s="479">
        <f>D21</f>
        <v>-26119.199729900942</v>
      </c>
      <c r="G22" s="371"/>
      <c r="H22" s="479">
        <v>0</v>
      </c>
      <c r="I22" s="479"/>
      <c r="J22" s="479">
        <f t="shared" ref="J22:J31" si="2">F22+H22</f>
        <v>-26119.199729900942</v>
      </c>
      <c r="K22" s="480"/>
      <c r="L22" s="481">
        <f>+'PSO WS Q Interest Rate'!E14</f>
        <v>6.7999999999999996E-3</v>
      </c>
      <c r="M22" s="482"/>
      <c r="N22" s="479">
        <f t="shared" si="1"/>
        <v>-177.6105581633264</v>
      </c>
      <c r="O22" s="479"/>
      <c r="P22" s="479">
        <f>SUM($D$21:D22)+SUM($N$21:N22)</f>
        <v>-52416.010017965207</v>
      </c>
      <c r="R22" s="286">
        <v>2</v>
      </c>
    </row>
    <row r="23" spans="2:18" ht="15.5">
      <c r="B23" s="370">
        <f t="shared" si="0"/>
        <v>45352</v>
      </c>
      <c r="C23" s="345"/>
      <c r="D23" s="479">
        <f>+D22</f>
        <v>-26119.199729900942</v>
      </c>
      <c r="E23" s="372"/>
      <c r="F23" s="479">
        <f>D22+F22</f>
        <v>-52238.399459801883</v>
      </c>
      <c r="G23" s="371"/>
      <c r="H23" s="479">
        <v>0</v>
      </c>
      <c r="I23" s="479"/>
      <c r="J23" s="479">
        <f t="shared" si="2"/>
        <v>-52238.399459801883</v>
      </c>
      <c r="K23" s="480"/>
      <c r="L23" s="481">
        <f>+'PSO WS Q Interest Rate'!E15</f>
        <v>7.1999999999999998E-3</v>
      </c>
      <c r="M23" s="482"/>
      <c r="N23" s="479">
        <f t="shared" si="1"/>
        <v>-376.11647611057356</v>
      </c>
      <c r="O23" s="479"/>
      <c r="P23" s="479">
        <f>SUM($D$21:D23)+SUM($N$21:N23)</f>
        <v>-78911.326223976735</v>
      </c>
      <c r="R23" s="286">
        <v>3</v>
      </c>
    </row>
    <row r="24" spans="2:18" ht="15.5">
      <c r="B24" s="370">
        <f t="shared" si="0"/>
        <v>45383</v>
      </c>
      <c r="C24" s="345"/>
      <c r="D24" s="479">
        <f>+D23</f>
        <v>-26119.199729900942</v>
      </c>
      <c r="E24" s="372"/>
      <c r="F24" s="479">
        <f t="shared" ref="F24:F30" si="3">D23+F23</f>
        <v>-78357.599189702829</v>
      </c>
      <c r="G24" s="371"/>
      <c r="H24" s="479">
        <f>SUM($N$21:$N$23)</f>
        <v>-553.72703427390002</v>
      </c>
      <c r="I24" s="479"/>
      <c r="J24" s="479">
        <f t="shared" si="2"/>
        <v>-78911.326223976735</v>
      </c>
      <c r="K24" s="480"/>
      <c r="L24" s="481">
        <f>+'PSO WS Q Interest Rate'!E16</f>
        <v>7.0000000000000001E-3</v>
      </c>
      <c r="M24" s="482"/>
      <c r="N24" s="479">
        <f t="shared" si="1"/>
        <v>-552.37928356783721</v>
      </c>
      <c r="O24" s="479"/>
      <c r="P24" s="479">
        <f>SUM($D$21:D24)+SUM($N$21:N24)</f>
        <v>-105582.90523744551</v>
      </c>
      <c r="R24" s="286">
        <v>4</v>
      </c>
    </row>
    <row r="25" spans="2:18" ht="15.5">
      <c r="B25" s="370">
        <f t="shared" si="0"/>
        <v>45413</v>
      </c>
      <c r="C25" s="345"/>
      <c r="D25" s="479">
        <f t="shared" ref="D25:D30" si="4">+D24</f>
        <v>-26119.199729900942</v>
      </c>
      <c r="E25" s="372"/>
      <c r="F25" s="479">
        <f t="shared" si="3"/>
        <v>-104476.79891960377</v>
      </c>
      <c r="G25" s="371"/>
      <c r="H25" s="479">
        <f t="shared" ref="H25:H26" si="5">SUM($N$21:$N$23)</f>
        <v>-553.72703427390002</v>
      </c>
      <c r="I25" s="479"/>
      <c r="J25" s="479">
        <f t="shared" si="2"/>
        <v>-105030.52595387767</v>
      </c>
      <c r="K25" s="480"/>
      <c r="L25" s="481">
        <f>+'PSO WS Q Interest Rate'!E17</f>
        <v>7.1999999999999998E-3</v>
      </c>
      <c r="M25" s="482"/>
      <c r="N25" s="479">
        <f t="shared" si="1"/>
        <v>-756.2197868679192</v>
      </c>
      <c r="O25" s="479"/>
      <c r="P25" s="479">
        <f>SUM($D$21:D25)+SUM($N$21:N25)</f>
        <v>-132458.32475421435</v>
      </c>
      <c r="R25" s="286">
        <v>5</v>
      </c>
    </row>
    <row r="26" spans="2:18" ht="15.5">
      <c r="B26" s="370">
        <f t="shared" si="0"/>
        <v>45444</v>
      </c>
      <c r="C26" s="345"/>
      <c r="D26" s="479">
        <f t="shared" si="4"/>
        <v>-26119.199729900942</v>
      </c>
      <c r="E26" s="372"/>
      <c r="F26" s="479">
        <f t="shared" si="3"/>
        <v>-130595.99864950471</v>
      </c>
      <c r="G26" s="371"/>
      <c r="H26" s="479">
        <f t="shared" si="5"/>
        <v>-553.72703427390002</v>
      </c>
      <c r="I26" s="479"/>
      <c r="J26" s="479">
        <f t="shared" si="2"/>
        <v>-131149.72568377861</v>
      </c>
      <c r="K26" s="480"/>
      <c r="L26" s="481">
        <f>+'PSO WS Q Interest Rate'!E18</f>
        <v>7.0000000000000001E-3</v>
      </c>
      <c r="M26" s="482"/>
      <c r="N26" s="479">
        <f t="shared" si="1"/>
        <v>-918.04807978645033</v>
      </c>
      <c r="O26" s="479"/>
      <c r="P26" s="479">
        <f>SUM($D$21:D26)+SUM($N$21:N26)</f>
        <v>-159495.57256390178</v>
      </c>
      <c r="R26" s="286">
        <v>6</v>
      </c>
    </row>
    <row r="27" spans="2:18" ht="15.5">
      <c r="B27" s="370">
        <f t="shared" si="0"/>
        <v>45474</v>
      </c>
      <c r="C27" s="345"/>
      <c r="D27" s="479">
        <f t="shared" si="4"/>
        <v>-26119.199729900942</v>
      </c>
      <c r="E27" s="372"/>
      <c r="F27" s="479">
        <f t="shared" si="3"/>
        <v>-156715.19837940566</v>
      </c>
      <c r="G27" s="371"/>
      <c r="H27" s="479">
        <f>$H$26+SUM($N$24:$N$26)</f>
        <v>-2780.3741844961069</v>
      </c>
      <c r="I27" s="479"/>
      <c r="J27" s="479">
        <f t="shared" si="2"/>
        <v>-159495.57256390178</v>
      </c>
      <c r="K27" s="480"/>
      <c r="L27" s="481">
        <f>+'PSO WS Q Interest Rate'!E19</f>
        <v>7.1999999999999998E-3</v>
      </c>
      <c r="M27" s="482"/>
      <c r="N27" s="479">
        <f t="shared" si="1"/>
        <v>-1148.3681224600928</v>
      </c>
      <c r="O27" s="479"/>
      <c r="P27" s="479">
        <f>SUM($D$21:D27)+SUM($N$21:N27)</f>
        <v>-186763.14041626282</v>
      </c>
      <c r="R27" s="286">
        <v>7</v>
      </c>
    </row>
    <row r="28" spans="2:18" ht="15.5">
      <c r="B28" s="370">
        <f t="shared" si="0"/>
        <v>45505</v>
      </c>
      <c r="C28" s="345"/>
      <c r="D28" s="479">
        <f t="shared" si="4"/>
        <v>-26119.199729900942</v>
      </c>
      <c r="E28" s="372"/>
      <c r="F28" s="479">
        <f t="shared" si="3"/>
        <v>-182834.39810930661</v>
      </c>
      <c r="G28" s="371"/>
      <c r="H28" s="479">
        <f>$H$26+SUM($N$24:$N$26)</f>
        <v>-2780.3741844961069</v>
      </c>
      <c r="I28" s="479"/>
      <c r="J28" s="479">
        <f t="shared" si="2"/>
        <v>-185614.77229380273</v>
      </c>
      <c r="K28" s="480"/>
      <c r="L28" s="481">
        <f>+'PSO WS Q Interest Rate'!E20</f>
        <v>7.1999999999999998E-3</v>
      </c>
      <c r="M28" s="482"/>
      <c r="N28" s="479">
        <f t="shared" si="1"/>
        <v>-1336.4263605153797</v>
      </c>
      <c r="O28" s="479"/>
      <c r="P28" s="479">
        <f>SUM($D$21:D28)+SUM($N$21:N28)</f>
        <v>-214218.76650667915</v>
      </c>
      <c r="R28" s="286">
        <v>8</v>
      </c>
    </row>
    <row r="29" spans="2:18" ht="15.5">
      <c r="B29" s="370">
        <f t="shared" si="0"/>
        <v>45536</v>
      </c>
      <c r="C29" s="345"/>
      <c r="D29" s="479">
        <f t="shared" si="4"/>
        <v>-26119.199729900942</v>
      </c>
      <c r="E29" s="372"/>
      <c r="F29" s="479">
        <f t="shared" si="3"/>
        <v>-208953.59783920756</v>
      </c>
      <c r="G29" s="371"/>
      <c r="H29" s="479">
        <f>$H$26+SUM($N$24:$N$26)</f>
        <v>-2780.3741844961069</v>
      </c>
      <c r="I29" s="479"/>
      <c r="J29" s="479">
        <f t="shared" si="2"/>
        <v>-211733.97202370368</v>
      </c>
      <c r="K29" s="480"/>
      <c r="L29" s="481">
        <f>+'PSO WS Q Interest Rate'!E21</f>
        <v>7.0000000000000001E-3</v>
      </c>
      <c r="M29" s="482"/>
      <c r="N29" s="479">
        <f t="shared" si="1"/>
        <v>-1482.1378041659259</v>
      </c>
      <c r="O29" s="479"/>
      <c r="P29" s="479">
        <f>SUM($D$21:D29)+SUM($N$21:N29)</f>
        <v>-241820.10404074602</v>
      </c>
      <c r="R29" s="286">
        <v>9</v>
      </c>
    </row>
    <row r="30" spans="2:18" ht="15.5">
      <c r="B30" s="370">
        <f t="shared" si="0"/>
        <v>45566</v>
      </c>
      <c r="C30" s="345"/>
      <c r="D30" s="479">
        <f t="shared" si="4"/>
        <v>-26119.199729900942</v>
      </c>
      <c r="E30" s="372"/>
      <c r="F30" s="479">
        <f t="shared" si="3"/>
        <v>-235072.79756910852</v>
      </c>
      <c r="G30" s="371"/>
      <c r="H30" s="479">
        <f>$H$29+SUM($N$27:$N$29)</f>
        <v>-6747.3064716375047</v>
      </c>
      <c r="I30" s="479"/>
      <c r="J30" s="479">
        <f t="shared" si="2"/>
        <v>-241820.10404074602</v>
      </c>
      <c r="K30" s="480"/>
      <c r="L30" s="481">
        <f>+'PSO WS Q Interest Rate'!E22</f>
        <v>7.1999999999999998E-3</v>
      </c>
      <c r="M30" s="482"/>
      <c r="N30" s="479">
        <f t="shared" si="1"/>
        <v>-1741.1047490933713</v>
      </c>
      <c r="O30" s="479"/>
      <c r="P30" s="479">
        <f>SUM($D$21:D30)+SUM($N$21:N30)</f>
        <v>-269680.40851974033</v>
      </c>
      <c r="R30" s="286">
        <v>10</v>
      </c>
    </row>
    <row r="31" spans="2:18" ht="15.5">
      <c r="B31" s="370">
        <f t="shared" si="0"/>
        <v>45597</v>
      </c>
      <c r="C31" s="345"/>
      <c r="D31" s="479">
        <f>+D30</f>
        <v>-26119.199729900942</v>
      </c>
      <c r="E31" s="372"/>
      <c r="F31" s="479">
        <f>D30+F30</f>
        <v>-261191.99729900947</v>
      </c>
      <c r="G31" s="371"/>
      <c r="H31" s="479">
        <f>$H$29+SUM($N$27:$N$29)</f>
        <v>-6747.3064716375047</v>
      </c>
      <c r="I31" s="479"/>
      <c r="J31" s="479">
        <f t="shared" si="2"/>
        <v>-267939.30377064698</v>
      </c>
      <c r="K31" s="480"/>
      <c r="L31" s="481">
        <f>+'PSO WS Q Interest Rate'!E23</f>
        <v>7.0000000000000001E-3</v>
      </c>
      <c r="M31" s="482"/>
      <c r="N31" s="479">
        <f t="shared" si="1"/>
        <v>-1875.575126394529</v>
      </c>
      <c r="O31" s="479"/>
      <c r="P31" s="479">
        <f>SUM($D$21:D31)+SUM($N$21:N31)</f>
        <v>-297675.18337603577</v>
      </c>
      <c r="R31" s="286">
        <v>11</v>
      </c>
    </row>
    <row r="32" spans="2:18" ht="15.5">
      <c r="B32" s="370">
        <f t="shared" si="0"/>
        <v>45627</v>
      </c>
      <c r="C32" s="345"/>
      <c r="D32" s="479">
        <f>+D31</f>
        <v>-26119.199729900942</v>
      </c>
      <c r="E32" s="372"/>
      <c r="F32" s="479">
        <f>D31+F31</f>
        <v>-287311.19702891039</v>
      </c>
      <c r="G32" s="371"/>
      <c r="H32" s="479">
        <f>$H$29+SUM($N$27:$N$29)</f>
        <v>-6747.3064716375047</v>
      </c>
      <c r="I32" s="479"/>
      <c r="J32" s="479">
        <f>F32+H32</f>
        <v>-294058.5035005479</v>
      </c>
      <c r="K32" s="480"/>
      <c r="L32" s="481">
        <f>+'PSO WS Q Interest Rate'!E24</f>
        <v>7.1999999999999998E-3</v>
      </c>
      <c r="M32" s="482"/>
      <c r="N32" s="479">
        <f t="shared" si="1"/>
        <v>-2117.2212252039449</v>
      </c>
      <c r="O32" s="479"/>
      <c r="P32" s="479">
        <f>SUM($D$21:D32)+SUM($N$21:N32)</f>
        <v>-325911.60433114064</v>
      </c>
      <c r="R32" s="286">
        <v>12</v>
      </c>
    </row>
    <row r="33" spans="2:20" ht="15.5">
      <c r="B33" s="345"/>
      <c r="C33" s="345"/>
      <c r="D33" s="371"/>
      <c r="E33" s="372"/>
      <c r="F33" s="371"/>
      <c r="G33" s="371"/>
      <c r="H33" s="371"/>
      <c r="I33" s="371"/>
      <c r="J33" s="371"/>
      <c r="K33" s="372"/>
      <c r="L33" s="357"/>
      <c r="M33" s="345"/>
      <c r="N33" s="373"/>
      <c r="O33" s="371"/>
      <c r="P33" s="374"/>
    </row>
    <row r="34" spans="2:20" ht="15.5">
      <c r="B34" s="369" t="s">
        <v>714</v>
      </c>
      <c r="C34" s="345"/>
      <c r="D34" s="371"/>
      <c r="E34" s="372"/>
      <c r="F34" s="371"/>
      <c r="G34" s="371"/>
      <c r="H34" s="371"/>
      <c r="I34" s="371"/>
      <c r="J34" s="371"/>
      <c r="K34" s="372"/>
      <c r="L34" s="357"/>
      <c r="M34" s="345"/>
      <c r="N34" s="371"/>
      <c r="O34" s="371"/>
      <c r="P34" s="471"/>
    </row>
    <row r="35" spans="2:20" ht="15.5">
      <c r="B35" s="370">
        <f t="shared" ref="B35:B40" si="6">DATE($J$12,R35,1)</f>
        <v>45658</v>
      </c>
      <c r="C35" s="345"/>
      <c r="D35" s="479">
        <v>0</v>
      </c>
      <c r="E35" s="480"/>
      <c r="F35" s="479">
        <f>D32+F32</f>
        <v>-313430.39675881132</v>
      </c>
      <c r="G35" s="479"/>
      <c r="H35" s="479">
        <f>$H$32+SUM($N$30:$N$32)</f>
        <v>-12481.207572329349</v>
      </c>
      <c r="I35" s="479"/>
      <c r="J35" s="479">
        <f>F35+H35</f>
        <v>-325911.60433114064</v>
      </c>
      <c r="K35" s="480"/>
      <c r="L35" s="481">
        <f>+'PSO WS Q Interest Rate'!E25</f>
        <v>6.7999999999999996E-3</v>
      </c>
      <c r="M35" s="482"/>
      <c r="N35" s="479">
        <f t="shared" ref="N35:N40" si="7">J35*L35</f>
        <v>-2216.1989094517562</v>
      </c>
      <c r="O35" s="479"/>
      <c r="P35" s="479">
        <f>SUM($D$21:D35)+SUM($N$21:N35)</f>
        <v>-328127.80324059242</v>
      </c>
      <c r="R35" s="286">
        <v>1</v>
      </c>
    </row>
    <row r="36" spans="2:20" ht="15.5">
      <c r="B36" s="370">
        <f t="shared" si="6"/>
        <v>45689</v>
      </c>
      <c r="C36" s="345"/>
      <c r="D36" s="479">
        <v>0</v>
      </c>
      <c r="E36" s="480"/>
      <c r="F36" s="479">
        <f>D35+F35</f>
        <v>-313430.39675881132</v>
      </c>
      <c r="G36" s="479"/>
      <c r="H36" s="479">
        <f>$H$32+SUM($N$30:$N$32)</f>
        <v>-12481.207572329349</v>
      </c>
      <c r="I36" s="479"/>
      <c r="J36" s="479">
        <f>F36+H36</f>
        <v>-325911.60433114064</v>
      </c>
      <c r="K36" s="480"/>
      <c r="L36" s="481">
        <f>+'PSO WS Q Interest Rate'!E26</f>
        <v>6.1999999999999998E-3</v>
      </c>
      <c r="M36" s="482"/>
      <c r="N36" s="479">
        <f t="shared" si="7"/>
        <v>-2020.6519468530719</v>
      </c>
      <c r="O36" s="479"/>
      <c r="P36" s="479">
        <f>SUM($D$21:D36)+SUM($N$21:N36)</f>
        <v>-330148.45518744551</v>
      </c>
      <c r="R36" s="286">
        <v>2</v>
      </c>
    </row>
    <row r="37" spans="2:20" ht="15.5">
      <c r="B37" s="370">
        <f t="shared" si="6"/>
        <v>45717</v>
      </c>
      <c r="C37" s="345"/>
      <c r="D37" s="479">
        <v>0</v>
      </c>
      <c r="E37" s="480"/>
      <c r="F37" s="479">
        <f t="shared" ref="F37:F40" si="8">D36+F36</f>
        <v>-313430.39675881132</v>
      </c>
      <c r="G37" s="479"/>
      <c r="H37" s="479">
        <f>$H$32+SUM($N$30:$N$32)</f>
        <v>-12481.207572329349</v>
      </c>
      <c r="I37" s="479"/>
      <c r="J37" s="479">
        <f t="shared" ref="J37:J40" si="9">F37+H37</f>
        <v>-325911.60433114064</v>
      </c>
      <c r="K37" s="480"/>
      <c r="L37" s="481">
        <f>+'PSO WS Q Interest Rate'!E27</f>
        <v>6.7999999999999996E-3</v>
      </c>
      <c r="M37" s="482"/>
      <c r="N37" s="479">
        <f t="shared" si="7"/>
        <v>-2216.1989094517562</v>
      </c>
      <c r="O37" s="479"/>
      <c r="P37" s="479">
        <f>SUM($D$21:D37)+SUM($N$21:N37)</f>
        <v>-332364.65409689723</v>
      </c>
      <c r="R37" s="286">
        <v>3</v>
      </c>
    </row>
    <row r="38" spans="2:20" ht="15.5">
      <c r="B38" s="370">
        <f t="shared" si="6"/>
        <v>45748</v>
      </c>
      <c r="C38" s="345"/>
      <c r="D38" s="479">
        <v>0</v>
      </c>
      <c r="E38" s="480"/>
      <c r="F38" s="479">
        <f t="shared" si="8"/>
        <v>-313430.39675881132</v>
      </c>
      <c r="G38" s="479"/>
      <c r="H38" s="479">
        <f>$H$37+SUM($N$35:$N$37)</f>
        <v>-18934.257338085932</v>
      </c>
      <c r="I38" s="479"/>
      <c r="J38" s="479">
        <f>F38+H38</f>
        <v>-332364.65409689723</v>
      </c>
      <c r="K38" s="480"/>
      <c r="L38" s="481">
        <f>+'PSO WS Q Interest Rate'!E28</f>
        <v>6.1999999999999998E-3</v>
      </c>
      <c r="M38" s="482"/>
      <c r="N38" s="479">
        <f t="shared" si="7"/>
        <v>-2060.6608554007626</v>
      </c>
      <c r="O38" s="479"/>
      <c r="P38" s="479">
        <f>SUM($D$21:D38)+SUM($N$21:N38)</f>
        <v>-334425.31495229801</v>
      </c>
      <c r="R38" s="286">
        <v>4</v>
      </c>
    </row>
    <row r="39" spans="2:20" ht="15.5">
      <c r="B39" s="370">
        <f t="shared" si="6"/>
        <v>45778</v>
      </c>
      <c r="C39" s="345"/>
      <c r="D39" s="479">
        <v>0</v>
      </c>
      <c r="E39" s="480"/>
      <c r="F39" s="479">
        <f t="shared" si="8"/>
        <v>-313430.39675881132</v>
      </c>
      <c r="G39" s="479"/>
      <c r="H39" s="479">
        <f>$H$37+SUM($N$35:$N$37)</f>
        <v>-18934.257338085932</v>
      </c>
      <c r="I39" s="479"/>
      <c r="J39" s="479">
        <f t="shared" si="9"/>
        <v>-332364.65409689723</v>
      </c>
      <c r="K39" s="480"/>
      <c r="L39" s="481">
        <f>+'PSO WS Q Interest Rate'!E29</f>
        <v>6.4000000000000003E-3</v>
      </c>
      <c r="M39" s="482"/>
      <c r="N39" s="479">
        <f t="shared" si="7"/>
        <v>-2127.1337862201422</v>
      </c>
      <c r="O39" s="479"/>
      <c r="P39" s="479">
        <f>SUM($D$21:D39)+SUM($N$21:N39)</f>
        <v>-336552.44873851817</v>
      </c>
      <c r="R39" s="286">
        <v>5</v>
      </c>
    </row>
    <row r="40" spans="2:20" ht="16" thickBot="1">
      <c r="B40" s="375">
        <f t="shared" si="6"/>
        <v>45809</v>
      </c>
      <c r="C40" s="376"/>
      <c r="D40" s="483">
        <v>0</v>
      </c>
      <c r="E40" s="484"/>
      <c r="F40" s="483">
        <f t="shared" si="8"/>
        <v>-313430.39675881132</v>
      </c>
      <c r="G40" s="483"/>
      <c r="H40" s="483">
        <f>$H$37+SUM($N$35:$N$37)</f>
        <v>-18934.257338085932</v>
      </c>
      <c r="I40" s="483"/>
      <c r="J40" s="483">
        <f t="shared" si="9"/>
        <v>-332364.65409689723</v>
      </c>
      <c r="K40" s="484"/>
      <c r="L40" s="485">
        <f>+'PSO WS Q Interest Rate'!E30</f>
        <v>6.1999999999999998E-3</v>
      </c>
      <c r="M40" s="486"/>
      <c r="N40" s="483">
        <f t="shared" si="7"/>
        <v>-2060.6608554007626</v>
      </c>
      <c r="O40" s="483"/>
      <c r="P40" s="483">
        <f>SUM($D$21:D40)+SUM($N$21:N40)</f>
        <v>-338613.1095939189</v>
      </c>
      <c r="R40" s="286">
        <v>6</v>
      </c>
    </row>
    <row r="41" spans="2:20" ht="15.5">
      <c r="B41" s="345"/>
      <c r="C41" s="345"/>
      <c r="D41" s="356"/>
      <c r="E41" s="356"/>
      <c r="F41" s="356"/>
      <c r="G41" s="356"/>
      <c r="H41" s="356"/>
      <c r="I41" s="356"/>
      <c r="J41" s="356"/>
      <c r="K41" s="356"/>
      <c r="L41" s="345"/>
      <c r="M41" s="345"/>
      <c r="N41" s="371"/>
      <c r="O41" s="371"/>
      <c r="P41" s="371"/>
    </row>
    <row r="42" spans="2:20" ht="15.5">
      <c r="B42" s="348"/>
      <c r="C42" s="348"/>
      <c r="D42" s="348"/>
      <c r="E42" s="348"/>
      <c r="F42" s="348"/>
      <c r="G42" s="348"/>
      <c r="H42" s="348"/>
      <c r="I42" s="348"/>
      <c r="J42" s="348"/>
      <c r="K42" s="348"/>
      <c r="L42" s="348"/>
      <c r="M42" s="348"/>
      <c r="N42" s="471"/>
      <c r="O42" s="471"/>
      <c r="P42" s="471"/>
    </row>
    <row r="43" spans="2:20" ht="15.5">
      <c r="B43" s="377" t="s">
        <v>716</v>
      </c>
      <c r="C43" s="472"/>
      <c r="D43" s="472"/>
      <c r="E43" s="472"/>
      <c r="F43" s="472"/>
      <c r="G43" s="472"/>
      <c r="H43" s="472"/>
      <c r="I43" s="472"/>
      <c r="J43" s="472"/>
      <c r="K43" s="472"/>
      <c r="L43" s="472"/>
      <c r="M43" s="472"/>
      <c r="N43" s="473"/>
      <c r="O43" s="474"/>
      <c r="P43" s="487">
        <f>P40</f>
        <v>-338613.1095939189</v>
      </c>
    </row>
    <row r="44" spans="2:20" ht="15.5">
      <c r="B44" s="345" t="s">
        <v>717</v>
      </c>
      <c r="C44" s="348"/>
      <c r="D44" s="348"/>
      <c r="E44" s="348"/>
      <c r="F44" s="348"/>
      <c r="G44" s="348"/>
      <c r="H44" s="348"/>
      <c r="I44" s="348"/>
      <c r="J44" s="348"/>
      <c r="K44" s="348"/>
      <c r="L44" s="348"/>
      <c r="M44" s="348"/>
      <c r="N44" s="344"/>
      <c r="O44" s="475"/>
      <c r="P44" s="488">
        <f>+F13</f>
        <v>-313430.39675881132</v>
      </c>
    </row>
    <row r="45" spans="2:20" ht="15.5">
      <c r="B45" s="378" t="s">
        <v>718</v>
      </c>
      <c r="C45" s="476"/>
      <c r="D45" s="476"/>
      <c r="E45" s="476"/>
      <c r="F45" s="476"/>
      <c r="G45" s="476"/>
      <c r="H45" s="476"/>
      <c r="I45" s="476"/>
      <c r="J45" s="476"/>
      <c r="K45" s="476"/>
      <c r="L45" s="476"/>
      <c r="M45" s="476"/>
      <c r="N45" s="477"/>
      <c r="O45" s="478"/>
      <c r="P45" s="489">
        <f>P43-P44</f>
        <v>-25182.712835107581</v>
      </c>
    </row>
    <row r="46" spans="2:20">
      <c r="B46" s="344"/>
      <c r="C46" s="344"/>
      <c r="D46" s="344"/>
      <c r="E46" s="344"/>
      <c r="F46" s="344"/>
      <c r="G46" s="344"/>
      <c r="H46" s="344"/>
      <c r="I46" s="344"/>
      <c r="J46" s="344"/>
      <c r="K46" s="344"/>
      <c r="L46" s="344"/>
      <c r="M46" s="344"/>
      <c r="N46" s="344"/>
      <c r="O46" s="344"/>
      <c r="P46" s="344"/>
    </row>
    <row r="47" spans="2:20" ht="15.5">
      <c r="B47" s="2381" t="s">
        <v>940</v>
      </c>
      <c r="C47" s="2381"/>
      <c r="D47" s="2381"/>
      <c r="E47" s="2381"/>
      <c r="F47" s="2381"/>
      <c r="G47" s="2381"/>
      <c r="H47" s="2381"/>
      <c r="I47" s="2381"/>
      <c r="J47" s="2381"/>
      <c r="K47" s="2381"/>
      <c r="L47" s="2381"/>
      <c r="M47" s="2381"/>
      <c r="N47" s="2381"/>
      <c r="O47" s="379"/>
      <c r="P47" s="379"/>
      <c r="T47" s="380"/>
    </row>
    <row r="48" spans="2:20" ht="17.25" customHeight="1">
      <c r="B48" s="2381"/>
      <c r="C48" s="2381"/>
      <c r="D48" s="2381"/>
      <c r="E48" s="2381"/>
      <c r="F48" s="2381"/>
      <c r="G48" s="2381"/>
      <c r="H48" s="2381"/>
      <c r="I48" s="2381"/>
      <c r="J48" s="2381"/>
      <c r="K48" s="2381"/>
      <c r="L48" s="2381"/>
      <c r="M48" s="2381"/>
      <c r="N48" s="2381"/>
      <c r="O48" s="344"/>
      <c r="P48" s="344"/>
    </row>
    <row r="49" spans="2:16">
      <c r="B49" s="344"/>
      <c r="C49" s="344"/>
      <c r="D49" s="344"/>
      <c r="E49" s="344"/>
      <c r="F49" s="344"/>
      <c r="G49" s="344"/>
      <c r="H49" s="344"/>
      <c r="I49" s="344"/>
      <c r="J49" s="344"/>
      <c r="K49" s="344"/>
      <c r="L49" s="344"/>
      <c r="M49" s="344"/>
      <c r="N49" s="344"/>
      <c r="O49" s="344"/>
      <c r="P49" s="344"/>
    </row>
    <row r="50" spans="2:16">
      <c r="B50" s="2381" t="s">
        <v>941</v>
      </c>
      <c r="C50" s="2381"/>
      <c r="D50" s="2381"/>
      <c r="E50" s="2381"/>
      <c r="F50" s="2381"/>
      <c r="G50" s="2381"/>
      <c r="H50" s="2381"/>
      <c r="I50" s="2381"/>
      <c r="J50" s="2381"/>
      <c r="K50" s="2381"/>
      <c r="L50" s="2381"/>
      <c r="M50" s="2381"/>
      <c r="N50" s="2381"/>
      <c r="O50" s="344"/>
      <c r="P50" s="344"/>
    </row>
    <row r="51" spans="2:16" ht="21.75" customHeight="1">
      <c r="B51" s="2381"/>
      <c r="C51" s="2381"/>
      <c r="D51" s="2381"/>
      <c r="E51" s="2381"/>
      <c r="F51" s="2381"/>
      <c r="G51" s="2381"/>
      <c r="H51" s="2381"/>
      <c r="I51" s="2381"/>
      <c r="J51" s="2381"/>
      <c r="K51" s="2381"/>
      <c r="L51" s="2381"/>
      <c r="M51" s="2381"/>
      <c r="N51" s="2381"/>
      <c r="O51" s="344"/>
      <c r="P51" s="344"/>
    </row>
    <row r="53" spans="2:16" ht="15.5">
      <c r="B53" s="366"/>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1" fitToHeight="0" orientation="portrait" r:id="rId1"/>
  <headerFooter>
    <oddHeader>&amp;RAEP - SPP Formula Rate
TCOS - WS P
Page: &amp;P of &amp;N</oddHead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69"/>
  <sheetViews>
    <sheetView topLeftCell="A11" zoomScaleNormal="100" workbookViewId="0">
      <selection activeCell="J46" sqref="J46"/>
    </sheetView>
  </sheetViews>
  <sheetFormatPr defaultColWidth="9.1796875" defaultRowHeight="13"/>
  <cols>
    <col min="1" max="1" width="11.453125" style="382" customWidth="1"/>
    <col min="2" max="2" width="11.54296875" style="382" bestFit="1" customWidth="1"/>
    <col min="3" max="3" width="23.54296875" style="382" customWidth="1"/>
    <col min="4" max="4" width="21" style="382" customWidth="1"/>
    <col min="5" max="5" width="11.453125" style="382"/>
    <col min="6" max="6" width="12" style="382" bestFit="1" customWidth="1"/>
    <col min="7" max="7" width="18.453125" style="382" bestFit="1"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11.453125" style="286" hidden="1" customWidth="1"/>
    <col min="19" max="19" width="9.1796875" style="286"/>
    <col min="20" max="20" width="11.453125" style="286" customWidth="1"/>
    <col min="21" max="16384" width="9.1796875" style="286"/>
  </cols>
  <sheetData>
    <row r="1" spans="1:7" ht="15.5">
      <c r="A1" s="381"/>
    </row>
    <row r="2" spans="1:7" ht="15.5">
      <c r="A2" s="342"/>
    </row>
    <row r="3" spans="1:7" ht="15.5">
      <c r="A3" s="342"/>
    </row>
    <row r="4" spans="1:7" ht="15.5">
      <c r="A4" s="342"/>
    </row>
    <row r="5" spans="1:7" ht="15.5">
      <c r="A5" s="2385" t="s">
        <v>644</v>
      </c>
      <c r="B5" s="2385"/>
      <c r="C5" s="2385"/>
      <c r="D5" s="2385"/>
      <c r="E5" s="2385"/>
      <c r="F5" s="2385"/>
      <c r="G5" s="2385"/>
    </row>
    <row r="6" spans="1:7" ht="15.5">
      <c r="A6" s="2386" t="str">
        <f>+'PSO WS A-1 - Plant'!A3</f>
        <v xml:space="preserve">Actual / Projected 2024 Rate Year Cost of Service Formula Rate </v>
      </c>
      <c r="B6" s="2386"/>
      <c r="C6" s="2386"/>
      <c r="D6" s="2386"/>
      <c r="E6" s="2386"/>
      <c r="F6" s="2386"/>
      <c r="G6" s="2386"/>
    </row>
    <row r="7" spans="1:7" ht="15.5">
      <c r="A7" s="2387" t="s">
        <v>943</v>
      </c>
      <c r="B7" s="2387"/>
      <c r="C7" s="2387"/>
      <c r="D7" s="2387"/>
      <c r="E7" s="2387"/>
      <c r="F7" s="2387"/>
      <c r="G7" s="2387"/>
    </row>
    <row r="8" spans="1:7" ht="15.75" customHeight="1">
      <c r="A8" s="2388" t="str">
        <f>+'PSO TCOS'!F8</f>
        <v>PUBLIC SERVICE COMPANY OF OKLAHOMA</v>
      </c>
      <c r="B8" s="2388"/>
      <c r="C8" s="2388"/>
      <c r="D8" s="2388"/>
      <c r="E8" s="2388"/>
      <c r="F8" s="2388"/>
      <c r="G8" s="2388"/>
    </row>
    <row r="10" spans="1:7" ht="13.5" customHeight="1">
      <c r="A10" s="2389" t="s">
        <v>949</v>
      </c>
      <c r="B10" s="2389"/>
      <c r="C10" s="2389"/>
      <c r="D10" s="2389"/>
      <c r="E10" s="2389"/>
      <c r="F10" s="2389"/>
      <c r="G10" s="2389"/>
    </row>
    <row r="11" spans="1:7">
      <c r="G11" s="383"/>
    </row>
    <row r="12" spans="1:7">
      <c r="A12" s="384"/>
      <c r="B12" s="385" t="s">
        <v>720</v>
      </c>
    </row>
    <row r="13" spans="1:7">
      <c r="A13" s="386">
        <v>1</v>
      </c>
      <c r="C13" s="1805">
        <f>+'PSO WS N Sch 11 TU'!B19</f>
        <v>45292</v>
      </c>
      <c r="E13" s="402">
        <v>7.1999999999999998E-3</v>
      </c>
      <c r="F13" s="387"/>
      <c r="G13" s="387"/>
    </row>
    <row r="14" spans="1:7">
      <c r="A14" s="386">
        <v>2</v>
      </c>
      <c r="C14" s="1805">
        <f>+'PSO WS N Sch 11 TU'!B20</f>
        <v>45323</v>
      </c>
      <c r="E14" s="402">
        <v>6.7999999999999996E-3</v>
      </c>
      <c r="F14" s="387"/>
      <c r="G14" s="387"/>
    </row>
    <row r="15" spans="1:7">
      <c r="A15" s="386">
        <v>3</v>
      </c>
      <c r="C15" s="1805">
        <f>+'PSO WS N Sch 11 TU'!B21</f>
        <v>45352</v>
      </c>
      <c r="E15" s="402">
        <v>7.1999999999999998E-3</v>
      </c>
      <c r="F15" s="387"/>
      <c r="G15" s="387"/>
    </row>
    <row r="16" spans="1:7">
      <c r="A16" s="386">
        <v>4</v>
      </c>
      <c r="C16" s="1805">
        <f>+'PSO WS N Sch 11 TU'!B22</f>
        <v>45383</v>
      </c>
      <c r="E16" s="402">
        <v>7.0000000000000001E-3</v>
      </c>
      <c r="F16" s="387"/>
      <c r="G16" s="387"/>
    </row>
    <row r="17" spans="1:7">
      <c r="A17" s="386">
        <v>5</v>
      </c>
      <c r="C17" s="1805">
        <f>+'PSO WS N Sch 11 TU'!B23</f>
        <v>45413</v>
      </c>
      <c r="E17" s="402">
        <v>7.1999999999999998E-3</v>
      </c>
      <c r="F17" s="388"/>
      <c r="G17" s="387"/>
    </row>
    <row r="18" spans="1:7">
      <c r="A18" s="386">
        <v>6</v>
      </c>
      <c r="C18" s="1805">
        <f>+'PSO WS N Sch 11 TU'!B24</f>
        <v>45444</v>
      </c>
      <c r="E18" s="402">
        <v>7.0000000000000001E-3</v>
      </c>
      <c r="F18" s="387"/>
      <c r="G18" s="387"/>
    </row>
    <row r="19" spans="1:7">
      <c r="A19" s="386">
        <v>7</v>
      </c>
      <c r="C19" s="1805">
        <f>+'PSO WS N Sch 11 TU'!B25</f>
        <v>45474</v>
      </c>
      <c r="E19" s="402">
        <v>7.1999999999999998E-3</v>
      </c>
      <c r="F19" s="387"/>
      <c r="G19" s="387"/>
    </row>
    <row r="20" spans="1:7">
      <c r="A20" s="386">
        <v>8</v>
      </c>
      <c r="C20" s="1805">
        <f>+'PSO WS N Sch 11 TU'!B26</f>
        <v>45505</v>
      </c>
      <c r="E20" s="402">
        <v>7.1999999999999998E-3</v>
      </c>
      <c r="F20" s="387"/>
      <c r="G20" s="387"/>
    </row>
    <row r="21" spans="1:7">
      <c r="A21" s="386">
        <v>9</v>
      </c>
      <c r="C21" s="1805">
        <f>+'PSO WS N Sch 11 TU'!B27</f>
        <v>45536</v>
      </c>
      <c r="E21" s="402">
        <v>7.0000000000000001E-3</v>
      </c>
      <c r="F21" s="387"/>
      <c r="G21" s="387"/>
    </row>
    <row r="22" spans="1:7">
      <c r="A22" s="386">
        <v>10</v>
      </c>
      <c r="C22" s="1805">
        <f>+'PSO WS N Sch 11 TU'!B28</f>
        <v>45566</v>
      </c>
      <c r="E22" s="402">
        <v>7.1999999999999998E-3</v>
      </c>
      <c r="F22" s="387"/>
      <c r="G22" s="387"/>
    </row>
    <row r="23" spans="1:7">
      <c r="A23" s="386">
        <v>11</v>
      </c>
      <c r="C23" s="1805">
        <f>+'PSO WS N Sch 11 TU'!B29</f>
        <v>45597</v>
      </c>
      <c r="E23" s="402">
        <v>7.0000000000000001E-3</v>
      </c>
      <c r="F23" s="388"/>
      <c r="G23" s="387"/>
    </row>
    <row r="24" spans="1:7">
      <c r="A24" s="386">
        <v>12</v>
      </c>
      <c r="C24" s="1805">
        <f>+'PSO WS N Sch 11 TU'!B30</f>
        <v>45627</v>
      </c>
      <c r="E24" s="402">
        <v>7.1999999999999998E-3</v>
      </c>
      <c r="F24" s="387"/>
      <c r="G24" s="387"/>
    </row>
    <row r="25" spans="1:7">
      <c r="A25" s="386">
        <f>+A24+1</f>
        <v>13</v>
      </c>
      <c r="C25" s="1805">
        <f>+'PSO WS N Sch 11 TU'!B33</f>
        <v>45658</v>
      </c>
      <c r="E25" s="402">
        <v>6.7999999999999996E-3</v>
      </c>
      <c r="F25" s="387"/>
      <c r="G25" s="1804"/>
    </row>
    <row r="26" spans="1:7">
      <c r="A26" s="386">
        <f t="shared" ref="A26:A36" si="0">+A25+1</f>
        <v>14</v>
      </c>
      <c r="C26" s="1805">
        <f>+'PSO WS N Sch 11 TU'!B34</f>
        <v>45689</v>
      </c>
      <c r="E26" s="402">
        <v>6.1999999999999998E-3</v>
      </c>
      <c r="F26" s="387"/>
      <c r="G26" s="1804"/>
    </row>
    <row r="27" spans="1:7">
      <c r="A27" s="386">
        <f t="shared" si="0"/>
        <v>15</v>
      </c>
      <c r="C27" s="1805">
        <f>+'PSO WS N Sch 11 TU'!B35</f>
        <v>45717</v>
      </c>
      <c r="E27" s="402">
        <v>6.7999999999999996E-3</v>
      </c>
      <c r="F27" s="387"/>
      <c r="G27" s="1804"/>
    </row>
    <row r="28" spans="1:7">
      <c r="A28" s="386">
        <f t="shared" si="0"/>
        <v>16</v>
      </c>
      <c r="C28" s="1805">
        <f>+'PSO WS N Sch 11 TU'!B36</f>
        <v>45748</v>
      </c>
      <c r="E28" s="402">
        <v>6.1999999999999998E-3</v>
      </c>
      <c r="F28" s="387"/>
      <c r="G28" s="1804"/>
    </row>
    <row r="29" spans="1:7">
      <c r="A29" s="386">
        <f t="shared" si="0"/>
        <v>17</v>
      </c>
      <c r="C29" s="1805">
        <f>+'PSO WS N Sch 11 TU'!B37</f>
        <v>45778</v>
      </c>
      <c r="E29" s="402">
        <v>6.4000000000000003E-3</v>
      </c>
      <c r="F29" s="387"/>
      <c r="G29" s="1804"/>
    </row>
    <row r="30" spans="1:7">
      <c r="A30" s="386">
        <f t="shared" si="0"/>
        <v>18</v>
      </c>
      <c r="C30" s="1805">
        <f>+'PSO WS N Sch 11 TU'!B38</f>
        <v>45809</v>
      </c>
      <c r="E30" s="402">
        <v>6.1999999999999998E-3</v>
      </c>
      <c r="F30" s="387"/>
      <c r="G30" s="1804"/>
    </row>
    <row r="31" spans="1:7">
      <c r="A31" s="386">
        <f t="shared" si="0"/>
        <v>19</v>
      </c>
      <c r="C31" s="1805">
        <f>+'PSO WS N Sch 11 TU'!B39</f>
        <v>45839</v>
      </c>
      <c r="E31" s="402">
        <v>6.1999999999999998E-3</v>
      </c>
      <c r="F31" s="387"/>
      <c r="G31" s="1804"/>
    </row>
    <row r="32" spans="1:7">
      <c r="A32" s="386">
        <f t="shared" si="0"/>
        <v>20</v>
      </c>
      <c r="C32" s="1805">
        <f>+'PSO WS N Sch 11 TU'!B40</f>
        <v>45870</v>
      </c>
      <c r="E32" s="402">
        <v>6.1999999999999998E-3</v>
      </c>
      <c r="F32" s="387"/>
      <c r="G32" s="1804"/>
    </row>
    <row r="33" spans="1:7">
      <c r="A33" s="386">
        <f t="shared" si="0"/>
        <v>21</v>
      </c>
      <c r="C33" s="1805">
        <f>+'PSO WS N Sch 11 TU'!B41</f>
        <v>45901</v>
      </c>
      <c r="E33" s="402">
        <v>6.1999999999999998E-3</v>
      </c>
      <c r="F33" s="387"/>
      <c r="G33" s="1804"/>
    </row>
    <row r="34" spans="1:7">
      <c r="A34" s="386">
        <f t="shared" si="0"/>
        <v>22</v>
      </c>
      <c r="C34" s="1805">
        <f>+'PSO WS N Sch 11 TU'!B42</f>
        <v>45931</v>
      </c>
      <c r="E34" s="402">
        <v>6.1999999999999998E-3</v>
      </c>
      <c r="F34" s="387"/>
      <c r="G34" s="1804"/>
    </row>
    <row r="35" spans="1:7">
      <c r="A35" s="386">
        <f t="shared" si="0"/>
        <v>23</v>
      </c>
      <c r="C35" s="1805">
        <f>+'PSO WS N Sch 11 TU'!B43</f>
        <v>45962</v>
      </c>
      <c r="E35" s="402">
        <v>6.1999999999999998E-3</v>
      </c>
      <c r="F35" s="387"/>
      <c r="G35" s="1804"/>
    </row>
    <row r="36" spans="1:7">
      <c r="A36" s="386">
        <f t="shared" si="0"/>
        <v>24</v>
      </c>
      <c r="C36" s="1805">
        <f>+'PSO WS N Sch 11 TU'!B44</f>
        <v>45992</v>
      </c>
      <c r="E36" s="402">
        <v>6.1999999999999998E-3</v>
      </c>
      <c r="F36" s="387"/>
      <c r="G36" s="1804"/>
    </row>
    <row r="37" spans="1:7">
      <c r="A37" s="386"/>
      <c r="C37" s="385"/>
      <c r="D37" s="387"/>
      <c r="E37" s="387"/>
      <c r="F37" s="387"/>
      <c r="G37" s="387"/>
    </row>
    <row r="38" spans="1:7">
      <c r="A38" s="386"/>
      <c r="B38" s="389" t="s">
        <v>721</v>
      </c>
      <c r="C38" s="385"/>
      <c r="D38" s="387"/>
      <c r="E38" s="387"/>
    </row>
    <row r="39" spans="1:7">
      <c r="A39" s="386">
        <f>A36+1</f>
        <v>25</v>
      </c>
      <c r="B39" s="390" t="str">
        <f>"Average Monthly Rate - Lines "&amp;A25&amp;"- "&amp;A36</f>
        <v>Average Monthly Rate - Lines 13- 24</v>
      </c>
      <c r="D39" s="387"/>
      <c r="E39" s="388">
        <f>+AVERAGE(E25:E36)</f>
        <v>6.3166666666666649E-3</v>
      </c>
    </row>
    <row r="40" spans="1:7">
      <c r="E40" s="391"/>
    </row>
    <row r="41" spans="1:7" ht="30.75" customHeight="1">
      <c r="A41" s="2384" t="s">
        <v>950</v>
      </c>
      <c r="B41" s="2384"/>
      <c r="C41" s="2384"/>
      <c r="D41" s="2384"/>
      <c r="E41" s="2384"/>
      <c r="F41" s="2384"/>
      <c r="G41" s="2384"/>
    </row>
    <row r="43" spans="1:7" ht="15.5">
      <c r="A43" s="379"/>
    </row>
    <row r="46" spans="1:7" ht="15.75" customHeight="1">
      <c r="C46" s="379"/>
      <c r="D46" s="379"/>
      <c r="E46" s="379"/>
      <c r="F46" s="379"/>
      <c r="G46" s="379"/>
    </row>
    <row r="47" spans="1:7" ht="12.75" customHeight="1">
      <c r="C47" s="379"/>
      <c r="D47" s="379"/>
      <c r="E47" s="379"/>
      <c r="F47" s="379"/>
      <c r="G47" s="379"/>
    </row>
    <row r="49" spans="2:7" ht="12.75" customHeight="1">
      <c r="C49" s="379"/>
      <c r="D49" s="379"/>
      <c r="E49" s="379"/>
      <c r="F49" s="379"/>
      <c r="G49" s="379"/>
    </row>
    <row r="50" spans="2:7" ht="12.75" customHeight="1">
      <c r="B50" s="379"/>
      <c r="C50" s="379"/>
      <c r="D50" s="379"/>
      <c r="E50" s="379"/>
      <c r="F50" s="379"/>
      <c r="G50" s="379"/>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4" fitToHeight="0" orientation="portrait" r:id="rId1"/>
  <headerFooter>
    <oddHeader>&amp;RAEP - SPP Formula Rate
TCOS - WS Q
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8"/>
  <sheetViews>
    <sheetView zoomScale="81" zoomScaleNormal="81" zoomScaleSheetLayoutView="80" zoomScalePageLayoutView="90" workbookViewId="0">
      <selection activeCell="A34" sqref="A34"/>
    </sheetView>
  </sheetViews>
  <sheetFormatPr defaultColWidth="11.453125" defaultRowHeight="12.5"/>
  <cols>
    <col min="1" max="1" width="9" style="314" customWidth="1"/>
    <col min="2" max="2" width="4.453125" style="294" customWidth="1"/>
    <col min="3" max="3" width="51.453125" style="294" customWidth="1"/>
    <col min="4" max="4" width="21" style="294" customWidth="1"/>
    <col min="5" max="5" width="16.54296875" style="294" customWidth="1"/>
    <col min="6" max="6" width="18.54296875" style="294" customWidth="1"/>
    <col min="7" max="7" width="20" style="294" bestFit="1" customWidth="1"/>
    <col min="8" max="8" width="18.453125" style="294" customWidth="1"/>
    <col min="9" max="9" width="17" style="294" customWidth="1"/>
    <col min="10" max="10" width="16" style="294" customWidth="1"/>
    <col min="11" max="11" width="16.54296875" style="294" customWidth="1"/>
    <col min="12" max="12" width="13.54296875" style="294" customWidth="1"/>
    <col min="13" max="13" width="11.54296875" style="294" customWidth="1"/>
    <col min="14" max="15" width="13.453125" style="294" customWidth="1"/>
    <col min="16" max="16" width="13.54296875" style="294" customWidth="1"/>
    <col min="17" max="16384" width="11.453125" style="294"/>
  </cols>
  <sheetData>
    <row r="1" spans="1:15" ht="15.5">
      <c r="A1" s="114"/>
    </row>
    <row r="2" spans="1:15" ht="15.5">
      <c r="A2" s="2278" t="str">
        <f>'PSO TCOS'!F4</f>
        <v xml:space="preserve">AEP West SPP Member Operating Companies </v>
      </c>
      <c r="B2" s="2278"/>
      <c r="C2" s="2278"/>
      <c r="D2" s="2278"/>
      <c r="E2" s="2278"/>
      <c r="F2" s="2278"/>
      <c r="G2" s="2278"/>
      <c r="H2" s="2278"/>
      <c r="I2" s="47"/>
      <c r="J2" s="286"/>
      <c r="K2" s="286"/>
    </row>
    <row r="3" spans="1:15" ht="15.5">
      <c r="A3" s="2278" t="str">
        <f>"Actual / Projected "&amp;'PSO TCOS'!$N$2&amp;" Rate Year Cost of Service Formula Rate "</f>
        <v xml:space="preserve">Actual / Projected 2024 Rate Year Cost of Service Formula Rate </v>
      </c>
      <c r="B3" s="2278"/>
      <c r="C3" s="2278"/>
      <c r="D3" s="2278"/>
      <c r="E3" s="2278"/>
      <c r="F3" s="2278"/>
      <c r="G3" s="2278"/>
      <c r="H3" s="2278"/>
      <c r="I3" s="66"/>
    </row>
    <row r="4" spans="1:15" ht="15.5">
      <c r="A4" s="2279" t="s">
        <v>947</v>
      </c>
      <c r="B4" s="2278"/>
      <c r="C4" s="2278"/>
      <c r="D4" s="2278"/>
      <c r="E4" s="2278"/>
      <c r="F4" s="2278"/>
      <c r="G4" s="2278"/>
      <c r="H4" s="2278"/>
      <c r="I4" s="87"/>
    </row>
    <row r="5" spans="1:15" ht="15.5">
      <c r="A5" s="2280" t="str">
        <f>+'PSO TCOS'!$F$8</f>
        <v>PUBLIC SERVICE COMPANY OF OKLAHOMA</v>
      </c>
      <c r="B5" s="2279"/>
      <c r="C5" s="2279"/>
      <c r="D5" s="2279"/>
      <c r="E5" s="2279"/>
      <c r="F5" s="2279"/>
      <c r="G5" s="2279"/>
      <c r="H5" s="2279"/>
      <c r="I5" s="115"/>
    </row>
    <row r="6" spans="1:15" ht="15.5">
      <c r="A6" s="115"/>
      <c r="B6" s="115"/>
      <c r="C6" s="115"/>
      <c r="F6" s="116"/>
      <c r="G6" s="116"/>
      <c r="H6" s="116"/>
      <c r="I6" s="116"/>
      <c r="J6" s="116"/>
    </row>
    <row r="7" spans="1:15" ht="13">
      <c r="C7" s="32" t="s">
        <v>301</v>
      </c>
      <c r="D7" s="32" t="s">
        <v>302</v>
      </c>
      <c r="E7" s="32" t="s">
        <v>303</v>
      </c>
      <c r="F7" s="32" t="s">
        <v>304</v>
      </c>
      <c r="G7" s="32" t="s">
        <v>229</v>
      </c>
      <c r="H7" s="32" t="s">
        <v>230</v>
      </c>
      <c r="I7" s="32"/>
      <c r="J7" s="32"/>
    </row>
    <row r="8" spans="1:15" ht="13">
      <c r="A8" s="16" t="s">
        <v>308</v>
      </c>
      <c r="C8" s="32"/>
      <c r="D8" s="32"/>
      <c r="E8" s="392" t="s">
        <v>795</v>
      </c>
      <c r="F8" s="40" t="s">
        <v>15</v>
      </c>
      <c r="G8" s="40" t="s">
        <v>60</v>
      </c>
      <c r="H8" s="2391" t="str">
        <f>"Average Balance for "&amp;'PSO TCOS'!$N$2&amp;""</f>
        <v>Average Balance for 2024</v>
      </c>
      <c r="I8" s="32"/>
      <c r="J8" s="32"/>
    </row>
    <row r="9" spans="1:15" ht="13">
      <c r="A9" s="16" t="s">
        <v>246</v>
      </c>
      <c r="C9" s="40" t="s">
        <v>306</v>
      </c>
      <c r="D9" s="393" t="s">
        <v>390</v>
      </c>
      <c r="E9" s="393" t="s">
        <v>794</v>
      </c>
      <c r="F9" s="178" t="str">
        <f>"12/31/"&amp;'PSO TCOS'!$N$2&amp;""</f>
        <v>12/31/2024</v>
      </c>
      <c r="G9" s="178" t="str">
        <f>"12/31/"&amp;'PSO TCOS'!$N$2-1&amp;""</f>
        <v>12/31/2023</v>
      </c>
      <c r="H9" s="2339"/>
      <c r="I9" s="40"/>
      <c r="J9" s="40"/>
      <c r="L9" s="286"/>
      <c r="M9" s="286"/>
      <c r="N9" s="286"/>
      <c r="O9" s="286"/>
    </row>
    <row r="10" spans="1:15">
      <c r="A10" s="286"/>
      <c r="B10" s="286"/>
      <c r="C10" s="286"/>
      <c r="D10" s="286"/>
      <c r="E10" s="286"/>
      <c r="G10" s="394"/>
      <c r="H10" s="395"/>
      <c r="I10" s="395"/>
      <c r="J10" s="286"/>
      <c r="K10" s="395"/>
      <c r="L10" s="286"/>
      <c r="M10" s="286"/>
      <c r="N10" s="286"/>
      <c r="O10" s="286"/>
    </row>
    <row r="11" spans="1:15">
      <c r="A11" s="314">
        <v>1</v>
      </c>
      <c r="B11" s="286"/>
      <c r="C11" s="396" t="s">
        <v>1023</v>
      </c>
      <c r="D11" s="396" t="s">
        <v>1022</v>
      </c>
      <c r="E11" s="397"/>
      <c r="F11" s="2470">
        <v>280548.723</v>
      </c>
      <c r="G11" s="2470">
        <v>99084.043000000005</v>
      </c>
      <c r="H11" s="322">
        <f t="shared" ref="H11:H15" si="0">IF(G11="",0,(F11+G11)/2)</f>
        <v>189816.383</v>
      </c>
      <c r="I11" s="395"/>
      <c r="J11" s="286"/>
      <c r="K11" s="395"/>
      <c r="L11" s="286"/>
      <c r="M11" s="286"/>
      <c r="N11" s="286"/>
      <c r="O11" s="286"/>
    </row>
    <row r="12" spans="1:15">
      <c r="A12" s="314">
        <f>+A11+1</f>
        <v>2</v>
      </c>
      <c r="C12" s="396"/>
      <c r="D12" s="396"/>
      <c r="E12" s="396"/>
      <c r="F12" s="396"/>
      <c r="G12" s="396"/>
      <c r="H12" s="2130">
        <f t="shared" si="0"/>
        <v>0</v>
      </c>
      <c r="J12" s="295"/>
      <c r="L12" s="295"/>
      <c r="M12" s="295"/>
      <c r="N12" s="295"/>
      <c r="O12" s="295"/>
    </row>
    <row r="13" spans="1:15">
      <c r="A13" s="314">
        <f t="shared" ref="A13:A16" si="1">+A12+1</f>
        <v>3</v>
      </c>
      <c r="C13" s="396"/>
      <c r="D13" s="396"/>
      <c r="E13" s="396"/>
      <c r="F13" s="396"/>
      <c r="G13" s="396"/>
      <c r="H13" s="2130">
        <f t="shared" si="0"/>
        <v>0</v>
      </c>
      <c r="J13" s="295"/>
      <c r="L13" s="295"/>
      <c r="M13" s="295"/>
      <c r="N13" s="295"/>
      <c r="O13" s="295"/>
    </row>
    <row r="14" spans="1:15">
      <c r="A14" s="314">
        <f t="shared" si="1"/>
        <v>4</v>
      </c>
      <c r="C14" s="396"/>
      <c r="D14" s="396"/>
      <c r="E14" s="396"/>
      <c r="F14" s="396"/>
      <c r="G14" s="396"/>
      <c r="H14" s="2130">
        <f t="shared" si="0"/>
        <v>0</v>
      </c>
      <c r="J14" s="295"/>
      <c r="L14" s="295"/>
      <c r="M14" s="295"/>
      <c r="N14" s="295"/>
      <c r="O14" s="295"/>
    </row>
    <row r="15" spans="1:15">
      <c r="A15" s="314">
        <f t="shared" si="1"/>
        <v>5</v>
      </c>
      <c r="C15" s="398"/>
      <c r="D15" s="398"/>
      <c r="E15" s="398"/>
      <c r="F15" s="398"/>
      <c r="G15" s="398"/>
      <c r="H15" s="2130">
        <f t="shared" si="0"/>
        <v>0</v>
      </c>
      <c r="J15" s="295"/>
      <c r="L15" s="295"/>
      <c r="M15" s="295"/>
      <c r="N15" s="295"/>
      <c r="O15" s="295"/>
    </row>
    <row r="16" spans="1:15">
      <c r="A16" s="314">
        <f t="shared" si="1"/>
        <v>6</v>
      </c>
      <c r="C16" s="323" t="s">
        <v>755</v>
      </c>
      <c r="D16" s="323"/>
      <c r="E16" s="323"/>
      <c r="F16" s="399">
        <f>+SUM(F11:F15)</f>
        <v>280548.723</v>
      </c>
      <c r="G16" s="399">
        <f>+SUM(G11:G15)</f>
        <v>99084.043000000005</v>
      </c>
      <c r="H16" s="399">
        <f>+SUM(H11:H15)</f>
        <v>189816.383</v>
      </c>
      <c r="J16" s="295"/>
      <c r="L16" s="295"/>
      <c r="M16" s="295"/>
      <c r="N16" s="295"/>
      <c r="O16" s="295"/>
    </row>
    <row r="18" spans="1:8" ht="29.25" customHeight="1">
      <c r="A18" s="2390" t="s">
        <v>796</v>
      </c>
      <c r="B18" s="2390"/>
      <c r="C18" s="2390"/>
      <c r="D18" s="2390"/>
      <c r="E18" s="2390"/>
      <c r="F18" s="2390"/>
      <c r="G18" s="2390"/>
      <c r="H18" s="2390"/>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54"/>
  <sheetViews>
    <sheetView topLeftCell="A5" zoomScale="81" zoomScaleNormal="81" zoomScaleSheetLayoutView="90" zoomScalePageLayoutView="90" workbookViewId="0">
      <selection activeCell="I26" sqref="I26"/>
    </sheetView>
  </sheetViews>
  <sheetFormatPr defaultColWidth="11.453125" defaultRowHeight="12.5"/>
  <cols>
    <col min="1" max="1" width="1.54296875" style="314" customWidth="1"/>
    <col min="2" max="2" width="6.1796875" style="294" customWidth="1"/>
    <col min="3" max="3" width="4" style="294" customWidth="1"/>
    <col min="4" max="4" width="46.54296875" style="294" customWidth="1"/>
    <col min="5" max="5" width="14.1796875" style="294" customWidth="1"/>
    <col min="6" max="6" width="20" style="294" bestFit="1" customWidth="1"/>
    <col min="7" max="7" width="18.453125" style="294" customWidth="1"/>
    <col min="8" max="8" width="10.81640625" style="294" customWidth="1"/>
    <col min="9" max="9" width="16" style="294" customWidth="1"/>
    <col min="10" max="10" width="13.54296875" style="294" customWidth="1"/>
    <col min="11" max="11" width="10.81640625" style="294" customWidth="1"/>
    <col min="12" max="12" width="14" style="294" customWidth="1"/>
    <col min="13" max="13" width="11.81640625" style="294" customWidth="1"/>
    <col min="14" max="14" width="14.453125" style="294" customWidth="1"/>
    <col min="15" max="15" width="13.453125" style="294" customWidth="1"/>
    <col min="16" max="16" width="13.54296875" style="294" customWidth="1"/>
    <col min="17" max="16384" width="11.453125" style="294"/>
  </cols>
  <sheetData>
    <row r="1" spans="1:15" ht="15.5">
      <c r="A1" s="114"/>
    </row>
    <row r="2" spans="1:15" ht="15.5">
      <c r="A2" s="2284" t="str">
        <f>+'PSO TCOS'!F4</f>
        <v xml:space="preserve">AEP West SPP Member Operating Companies </v>
      </c>
      <c r="B2" s="2284"/>
      <c r="C2" s="2284"/>
      <c r="D2" s="2284"/>
      <c r="E2" s="2284"/>
      <c r="F2" s="2284"/>
      <c r="G2" s="2284"/>
      <c r="H2" s="2284"/>
      <c r="I2" s="2284"/>
      <c r="J2" s="2284"/>
    </row>
    <row r="3" spans="1:15" ht="15.5">
      <c r="A3" s="2278" t="str">
        <f>+'PSO WS A-1 - Plant'!A3</f>
        <v xml:space="preserve">Actual / Projected 2024 Rate Year Cost of Service Formula Rate </v>
      </c>
      <c r="B3" s="2278"/>
      <c r="C3" s="2278"/>
      <c r="D3" s="2278"/>
      <c r="E3" s="2278"/>
      <c r="F3" s="2278"/>
      <c r="G3" s="2278"/>
      <c r="H3" s="2278"/>
      <c r="I3" s="2278"/>
      <c r="J3" s="2278"/>
    </row>
    <row r="4" spans="1:15" ht="15.5">
      <c r="A4" s="2279" t="s">
        <v>938</v>
      </c>
      <c r="B4" s="2278"/>
      <c r="C4" s="2278"/>
      <c r="D4" s="2278"/>
      <c r="E4" s="2278"/>
      <c r="F4" s="2278"/>
      <c r="G4" s="2278"/>
      <c r="H4" s="2278"/>
      <c r="I4" s="2278"/>
      <c r="J4" s="2278"/>
    </row>
    <row r="5" spans="1:15" ht="15.5">
      <c r="A5" s="2340" t="str">
        <f>+'PSO TCOS'!F8</f>
        <v>PUBLIC SERVICE COMPANY OF OKLAHOMA</v>
      </c>
      <c r="B5" s="2340"/>
      <c r="C5" s="2340"/>
      <c r="D5" s="2340"/>
      <c r="E5" s="2340"/>
      <c r="F5" s="2340"/>
      <c r="G5" s="2340"/>
      <c r="H5" s="2340"/>
      <c r="I5" s="2340"/>
      <c r="J5" s="2340"/>
    </row>
    <row r="6" spans="1:15" ht="18">
      <c r="A6" s="88"/>
      <c r="B6" s="88"/>
      <c r="C6" s="88"/>
      <c r="D6" s="88"/>
      <c r="E6" s="88"/>
      <c r="F6" s="88"/>
      <c r="H6" s="88"/>
      <c r="I6" s="88"/>
      <c r="J6" s="88"/>
      <c r="K6" s="295"/>
      <c r="L6" s="295"/>
      <c r="M6" s="295"/>
      <c r="N6" s="295"/>
      <c r="O6" s="295"/>
    </row>
    <row r="7" spans="1:15" ht="18">
      <c r="A7" s="88"/>
      <c r="B7" s="286"/>
      <c r="C7" s="286"/>
      <c r="D7" s="2357" t="s">
        <v>301</v>
      </c>
      <c r="E7" s="2357"/>
      <c r="F7" s="33" t="s">
        <v>302</v>
      </c>
      <c r="G7" s="33" t="s">
        <v>303</v>
      </c>
      <c r="H7" s="33" t="s">
        <v>304</v>
      </c>
      <c r="I7" s="33" t="s">
        <v>229</v>
      </c>
      <c r="J7" s="88"/>
      <c r="K7" s="295"/>
      <c r="L7" s="295"/>
      <c r="M7" s="295"/>
      <c r="N7" s="295"/>
      <c r="O7" s="295"/>
    </row>
    <row r="8" spans="1:15" ht="46.5" customHeight="1">
      <c r="A8" s="88"/>
      <c r="B8" s="41" t="s">
        <v>308</v>
      </c>
      <c r="C8" s="286"/>
      <c r="D8" s="2356" t="s">
        <v>306</v>
      </c>
      <c r="E8" s="2356"/>
      <c r="F8" s="289" t="s">
        <v>766</v>
      </c>
      <c r="G8" s="289" t="s">
        <v>345</v>
      </c>
      <c r="H8" s="48" t="s">
        <v>779</v>
      </c>
      <c r="I8" s="48" t="str">
        <f>+'PSO TCOS'!N2&amp;" Amortization / (Deferral)"</f>
        <v>2024 Amortization / (Deferral)</v>
      </c>
      <c r="J8" s="88"/>
      <c r="K8" s="295"/>
      <c r="L8" s="295"/>
      <c r="M8" s="295"/>
      <c r="N8" s="295"/>
      <c r="O8" s="295"/>
    </row>
    <row r="9" spans="1:15" ht="15.5">
      <c r="A9" s="286"/>
      <c r="B9" s="296"/>
      <c r="C9" s="288"/>
      <c r="D9" s="297"/>
      <c r="E9" s="298"/>
      <c r="F9" s="299"/>
      <c r="G9" s="299"/>
      <c r="H9" s="299"/>
      <c r="I9" s="299"/>
      <c r="J9" s="18"/>
    </row>
    <row r="10" spans="1:15" ht="15.5">
      <c r="A10" s="286"/>
      <c r="B10" s="296">
        <v>1</v>
      </c>
      <c r="C10" s="286"/>
      <c r="D10" s="300" t="s">
        <v>781</v>
      </c>
      <c r="E10" s="298"/>
      <c r="F10" s="299"/>
      <c r="G10" s="299"/>
      <c r="H10" s="299"/>
      <c r="I10" s="299"/>
      <c r="J10" s="18"/>
    </row>
    <row r="11" spans="1:15" ht="26">
      <c r="A11" s="286"/>
      <c r="B11" s="301" t="str">
        <f>+B$10&amp;"a"</f>
        <v>1a</v>
      </c>
      <c r="C11" s="286"/>
      <c r="D11" s="302" t="s">
        <v>1020</v>
      </c>
      <c r="E11" s="303"/>
      <c r="F11" s="304"/>
      <c r="G11" s="462" t="s">
        <v>1025</v>
      </c>
      <c r="H11" s="305">
        <v>571</v>
      </c>
      <c r="I11" s="2135">
        <v>0</v>
      </c>
      <c r="J11"/>
    </row>
    <row r="12" spans="1:15" ht="15.5">
      <c r="A12" s="286"/>
      <c r="B12" s="301" t="str">
        <f>+B$10&amp;"b"</f>
        <v>1b</v>
      </c>
      <c r="C12" s="286"/>
      <c r="D12" s="302"/>
      <c r="E12" s="303"/>
      <c r="F12" s="304"/>
      <c r="G12" s="462"/>
      <c r="H12" s="307"/>
      <c r="I12" s="2135"/>
      <c r="J12" s="18"/>
    </row>
    <row r="13" spans="1:15" ht="15.5">
      <c r="A13" s="286"/>
      <c r="B13" s="301" t="str">
        <f>+B$10&amp;"c"</f>
        <v>1c</v>
      </c>
      <c r="C13" s="286"/>
      <c r="D13" s="302"/>
      <c r="E13" s="303"/>
      <c r="F13" s="304"/>
      <c r="G13" s="304"/>
      <c r="H13" s="305"/>
      <c r="I13" s="2135"/>
      <c r="J13" s="18"/>
    </row>
    <row r="14" spans="1:15" ht="15.5">
      <c r="A14" s="286"/>
      <c r="B14" s="301" t="str">
        <f>+B$10&amp;"d"</f>
        <v>1d</v>
      </c>
      <c r="C14" s="286"/>
      <c r="D14" s="302"/>
      <c r="E14" s="303"/>
      <c r="F14" s="304"/>
      <c r="G14" s="304"/>
      <c r="H14" s="305"/>
      <c r="I14" s="2135"/>
      <c r="J14" s="18"/>
    </row>
    <row r="15" spans="1:15" ht="15.5">
      <c r="A15" s="286"/>
      <c r="B15" s="301" t="str">
        <f>+B$10&amp;"e"</f>
        <v>1e</v>
      </c>
      <c r="C15" s="286"/>
      <c r="D15" s="302"/>
      <c r="E15" s="303"/>
      <c r="F15" s="304"/>
      <c r="G15" s="304"/>
      <c r="H15" s="305"/>
      <c r="I15" s="2135"/>
      <c r="J15" s="18"/>
    </row>
    <row r="16" spans="1:15" ht="15.5">
      <c r="A16" s="286"/>
      <c r="B16" s="296">
        <f>+B10+1</f>
        <v>2</v>
      </c>
      <c r="C16" s="286"/>
      <c r="D16" s="308" t="s">
        <v>767</v>
      </c>
      <c r="E16" s="309"/>
      <c r="F16" s="308"/>
      <c r="G16" s="308"/>
      <c r="H16" s="310"/>
      <c r="I16" s="2236">
        <f>+SUM(I11:I15)</f>
        <v>0</v>
      </c>
      <c r="J16" s="18"/>
    </row>
    <row r="17" spans="1:12" ht="15.5">
      <c r="A17" s="286"/>
      <c r="B17" s="296"/>
      <c r="C17" s="286"/>
      <c r="D17" s="297"/>
      <c r="E17" s="298"/>
      <c r="F17" s="297"/>
      <c r="G17" s="297"/>
      <c r="H17" s="312"/>
      <c r="I17" s="2237"/>
      <c r="J17" s="18"/>
    </row>
    <row r="18" spans="1:12" ht="15.5">
      <c r="A18" s="286"/>
      <c r="B18" s="296">
        <f>+B16+1</f>
        <v>3</v>
      </c>
      <c r="C18" s="286"/>
      <c r="D18" s="300" t="s">
        <v>782</v>
      </c>
      <c r="E18" s="298"/>
      <c r="F18" s="297"/>
      <c r="G18" s="297"/>
      <c r="H18" s="312"/>
      <c r="I18" s="2237"/>
      <c r="J18" s="18"/>
    </row>
    <row r="19" spans="1:12" ht="26">
      <c r="A19" s="286"/>
      <c r="B19" s="301" t="str">
        <f>+B$18&amp;"a"</f>
        <v>3a</v>
      </c>
      <c r="C19" s="286"/>
      <c r="D19" s="302" t="s">
        <v>1020</v>
      </c>
      <c r="E19" s="303"/>
      <c r="F19" s="304" t="s">
        <v>1580</v>
      </c>
      <c r="G19" s="462" t="s">
        <v>1025</v>
      </c>
      <c r="H19" s="305">
        <v>571</v>
      </c>
      <c r="I19" s="2135">
        <f>+I11</f>
        <v>0</v>
      </c>
      <c r="J19"/>
      <c r="K19"/>
      <c r="L19"/>
    </row>
    <row r="20" spans="1:12" ht="15.65" customHeight="1">
      <c r="A20" s="286"/>
      <c r="B20" s="301" t="str">
        <f>+B$18&amp;"b"</f>
        <v>3b</v>
      </c>
      <c r="C20" s="286"/>
      <c r="D20" s="302"/>
      <c r="E20" s="303"/>
      <c r="F20" s="304"/>
      <c r="G20" s="462"/>
      <c r="H20" s="305"/>
      <c r="I20" s="2135"/>
      <c r="J20"/>
      <c r="K20"/>
      <c r="L20"/>
    </row>
    <row r="21" spans="1:12" ht="15.5">
      <c r="A21" s="286"/>
      <c r="B21" s="301" t="str">
        <f>+B$18&amp;"c"</f>
        <v>3c</v>
      </c>
      <c r="C21" s="286"/>
      <c r="D21" s="302"/>
      <c r="E21" s="303"/>
      <c r="F21" s="304"/>
      <c r="G21" s="304"/>
      <c r="H21" s="305"/>
      <c r="I21" s="2135"/>
      <c r="J21"/>
      <c r="K21"/>
      <c r="L21"/>
    </row>
    <row r="22" spans="1:12" ht="15.5">
      <c r="A22" s="286"/>
      <c r="B22" s="301" t="str">
        <f>+B$18&amp;"d"</f>
        <v>3d</v>
      </c>
      <c r="C22" s="286"/>
      <c r="D22" s="302"/>
      <c r="E22" s="303"/>
      <c r="F22" s="302"/>
      <c r="G22" s="302"/>
      <c r="H22" s="305"/>
      <c r="I22" s="2135"/>
      <c r="J22" s="18"/>
    </row>
    <row r="23" spans="1:12" ht="15.5">
      <c r="A23" s="286"/>
      <c r="B23" s="296">
        <f>+B18+1</f>
        <v>4</v>
      </c>
      <c r="C23" s="286"/>
      <c r="D23" s="308" t="s">
        <v>768</v>
      </c>
      <c r="E23" s="309"/>
      <c r="F23" s="308"/>
      <c r="G23" s="308"/>
      <c r="H23" s="310"/>
      <c r="I23" s="2236">
        <f>+SUM(I19:I22)</f>
        <v>0</v>
      </c>
      <c r="J23" s="18"/>
    </row>
    <row r="24" spans="1:12" ht="30" customHeight="1">
      <c r="A24" s="286"/>
      <c r="B24" s="296"/>
      <c r="C24" s="286"/>
      <c r="D24" s="297"/>
      <c r="E24" s="298"/>
      <c r="F24" s="297"/>
      <c r="G24" s="297"/>
      <c r="H24" s="312"/>
      <c r="I24" s="313"/>
      <c r="J24" s="18"/>
      <c r="L24" s="404"/>
    </row>
    <row r="25" spans="1:12" ht="15.5">
      <c r="A25" s="286"/>
      <c r="B25" s="296">
        <f>+B23+1</f>
        <v>5</v>
      </c>
      <c r="C25" s="286"/>
      <c r="D25" s="300" t="s">
        <v>784</v>
      </c>
      <c r="E25" s="298"/>
      <c r="F25" s="299"/>
      <c r="G25" s="299"/>
      <c r="H25" s="299"/>
      <c r="I25" s="299"/>
      <c r="J25" s="18"/>
      <c r="L25" s="404"/>
    </row>
    <row r="26" spans="1:12" ht="15.5">
      <c r="A26" s="286"/>
      <c r="B26" s="301" t="str">
        <f>+B$25&amp;"a"</f>
        <v>5a</v>
      </c>
      <c r="C26" s="286"/>
      <c r="D26" s="302" t="s">
        <v>1019</v>
      </c>
      <c r="E26" s="303"/>
      <c r="F26" s="304"/>
      <c r="G26" s="304"/>
      <c r="H26" s="305">
        <v>926</v>
      </c>
      <c r="I26" s="2471">
        <v>489914.45</v>
      </c>
      <c r="J26" s="18"/>
      <c r="L26" s="293"/>
    </row>
    <row r="27" spans="1:12" ht="15.5">
      <c r="A27" s="286"/>
      <c r="B27" s="301" t="str">
        <f>+B$25&amp;"b"</f>
        <v>5b</v>
      </c>
      <c r="C27" s="286"/>
      <c r="D27" s="302"/>
      <c r="E27" s="303"/>
      <c r="F27" s="304"/>
      <c r="G27" s="304"/>
      <c r="H27" s="305"/>
      <c r="I27" s="306"/>
      <c r="J27" s="18"/>
    </row>
    <row r="28" spans="1:12" ht="15.5">
      <c r="A28" s="286"/>
      <c r="B28" s="296">
        <f>+B25+1</f>
        <v>6</v>
      </c>
      <c r="C28" s="286"/>
      <c r="D28" s="308" t="s">
        <v>767</v>
      </c>
      <c r="E28" s="309"/>
      <c r="F28" s="308"/>
      <c r="G28" s="308"/>
      <c r="H28" s="310"/>
      <c r="I28" s="311">
        <f>+SUM(I26:I27)</f>
        <v>489914.45</v>
      </c>
      <c r="J28" s="18"/>
    </row>
    <row r="29" spans="1:12" ht="15.5">
      <c r="A29" s="286"/>
      <c r="B29" s="296"/>
      <c r="C29" s="286"/>
      <c r="D29" s="297"/>
      <c r="E29" s="298"/>
      <c r="F29" s="297"/>
      <c r="G29" s="297"/>
      <c r="H29" s="312"/>
      <c r="I29" s="313"/>
      <c r="J29" s="18"/>
    </row>
    <row r="30" spans="1:12" ht="15.5">
      <c r="A30" s="286"/>
      <c r="B30" s="296">
        <f>+B28+1</f>
        <v>7</v>
      </c>
      <c r="C30" s="286"/>
      <c r="D30" s="300" t="s">
        <v>785</v>
      </c>
      <c r="E30" s="298"/>
      <c r="F30" s="297"/>
      <c r="G30" s="297"/>
      <c r="H30" s="312"/>
      <c r="I30" s="313"/>
      <c r="J30" s="18"/>
    </row>
    <row r="31" spans="1:12" ht="15.5">
      <c r="A31" s="286"/>
      <c r="B31" s="301" t="str">
        <f>+B$30&amp;"a"</f>
        <v>7a</v>
      </c>
      <c r="C31" s="286"/>
      <c r="D31" s="302" t="s">
        <v>1019</v>
      </c>
      <c r="E31" s="303"/>
      <c r="F31" s="304" t="s">
        <v>1580</v>
      </c>
      <c r="G31" s="304"/>
      <c r="H31" s="305">
        <v>926</v>
      </c>
      <c r="I31" s="306">
        <f>+I26</f>
        <v>489914.45</v>
      </c>
      <c r="J31" s="18"/>
    </row>
    <row r="32" spans="1:12" ht="15.5">
      <c r="A32" s="286"/>
      <c r="B32" s="301" t="str">
        <f>+B$30&amp;"b"</f>
        <v>7b</v>
      </c>
      <c r="C32" s="286"/>
      <c r="J32" s="18"/>
    </row>
    <row r="33" spans="1:14" ht="15.5">
      <c r="A33" s="286"/>
      <c r="B33" s="296">
        <f>+B30+1</f>
        <v>8</v>
      </c>
      <c r="C33" s="286"/>
      <c r="D33" s="308" t="s">
        <v>768</v>
      </c>
      <c r="E33" s="309"/>
      <c r="F33" s="308"/>
      <c r="G33" s="308"/>
      <c r="H33" s="310"/>
      <c r="I33" s="311">
        <f>+SUM(I31:I31)</f>
        <v>489914.45</v>
      </c>
      <c r="J33" s="18"/>
    </row>
    <row r="34" spans="1:14" ht="15.5">
      <c r="A34" s="286"/>
      <c r="B34" s="286"/>
      <c r="C34" s="286"/>
      <c r="D34" s="297"/>
      <c r="E34" s="298"/>
      <c r="F34" s="297"/>
      <c r="G34" s="297"/>
      <c r="H34" s="312"/>
      <c r="I34" s="313"/>
      <c r="J34" s="18"/>
    </row>
    <row r="36" spans="1:14" ht="14">
      <c r="D36" s="315" t="s">
        <v>789</v>
      </c>
      <c r="K36" s="32"/>
      <c r="L36" s="32"/>
      <c r="M36" s="32"/>
      <c r="N36" s="32"/>
    </row>
    <row r="37" spans="1:14" ht="12.75" hidden="1" customHeight="1">
      <c r="K37" s="40"/>
      <c r="L37" s="40"/>
      <c r="M37" s="40"/>
    </row>
    <row r="38" spans="1:14" ht="12.75" customHeight="1">
      <c r="D38" s="2357" t="s">
        <v>301</v>
      </c>
      <c r="E38" s="2357"/>
      <c r="F38" s="33" t="s">
        <v>302</v>
      </c>
      <c r="G38" s="33" t="s">
        <v>303</v>
      </c>
      <c r="H38" s="33" t="s">
        <v>304</v>
      </c>
      <c r="I38" s="33" t="s">
        <v>229</v>
      </c>
      <c r="J38" s="33" t="s">
        <v>230</v>
      </c>
      <c r="K38" s="33" t="s">
        <v>231</v>
      </c>
      <c r="L38" s="33" t="s">
        <v>236</v>
      </c>
      <c r="M38" s="33" t="s">
        <v>177</v>
      </c>
      <c r="N38" s="33" t="s">
        <v>73</v>
      </c>
    </row>
    <row r="39" spans="1:14" ht="43.5" customHeight="1">
      <c r="B39" s="301">
        <f>+B33+1</f>
        <v>9</v>
      </c>
      <c r="D39" s="316" t="s">
        <v>306</v>
      </c>
      <c r="E39" s="317" t="s">
        <v>773</v>
      </c>
      <c r="F39" s="317" t="s">
        <v>778</v>
      </c>
      <c r="G39" s="317" t="s">
        <v>774</v>
      </c>
      <c r="H39" s="317" t="s">
        <v>775</v>
      </c>
      <c r="I39" s="318" t="str">
        <f>"Balance @ 12/31/"&amp;'PSO TCOS'!$N$2&amp;""</f>
        <v>Balance @ 12/31/2024</v>
      </c>
      <c r="J39" s="318" t="str">
        <f>"Balance @ 12/31/"&amp;'PSO TCOS'!$N$2-1&amp;""</f>
        <v>Balance @ 12/31/2023</v>
      </c>
      <c r="K39" s="319" t="s">
        <v>352</v>
      </c>
      <c r="L39" s="319" t="s">
        <v>791</v>
      </c>
      <c r="M39" s="319" t="s">
        <v>780</v>
      </c>
      <c r="N39" s="319" t="s">
        <v>776</v>
      </c>
    </row>
    <row r="40" spans="1:14">
      <c r="B40" s="301" t="str">
        <f>+B$33+1&amp;"a"</f>
        <v>9a</v>
      </c>
      <c r="D40" s="302"/>
      <c r="E40" s="304"/>
      <c r="F40" s="304"/>
      <c r="G40" s="320"/>
      <c r="H40" s="321"/>
      <c r="I40" s="2131"/>
      <c r="J40" s="2132"/>
      <c r="K40" s="2133">
        <f>+(I40+J40)/2</f>
        <v>0</v>
      </c>
      <c r="L40" s="2134"/>
      <c r="M40" s="2135"/>
      <c r="N40" s="2130">
        <f>+K40*M40</f>
        <v>0</v>
      </c>
    </row>
    <row r="41" spans="1:14">
      <c r="B41" s="301" t="str">
        <f>+B$33+1&amp;"b"</f>
        <v>9b</v>
      </c>
      <c r="D41" s="302"/>
      <c r="E41" s="304"/>
      <c r="F41" s="304"/>
      <c r="G41" s="320"/>
      <c r="H41" s="321"/>
      <c r="I41" s="2131"/>
      <c r="J41" s="2131"/>
      <c r="K41" s="2133">
        <f t="shared" ref="K41:K44" si="0">+(I41+J41)/2</f>
        <v>0</v>
      </c>
      <c r="L41" s="2134"/>
      <c r="M41" s="2135"/>
      <c r="N41" s="2130">
        <f t="shared" ref="N41:N44" si="1">+K41*M41</f>
        <v>0</v>
      </c>
    </row>
    <row r="42" spans="1:14">
      <c r="B42" s="301" t="str">
        <f>+B$33+1&amp;"c"</f>
        <v>9c</v>
      </c>
      <c r="D42" s="302"/>
      <c r="E42" s="304"/>
      <c r="F42" s="304"/>
      <c r="G42" s="320"/>
      <c r="H42" s="321"/>
      <c r="I42" s="2131"/>
      <c r="J42" s="2131"/>
      <c r="K42" s="2133">
        <f t="shared" si="0"/>
        <v>0</v>
      </c>
      <c r="L42" s="2134"/>
      <c r="M42" s="2134"/>
      <c r="N42" s="2130">
        <f t="shared" si="1"/>
        <v>0</v>
      </c>
    </row>
    <row r="43" spans="1:14">
      <c r="B43" s="301" t="str">
        <f>+B$33+1&amp;"d"</f>
        <v>9d</v>
      </c>
      <c r="D43" s="302"/>
      <c r="E43" s="304"/>
      <c r="F43" s="304"/>
      <c r="G43" s="320"/>
      <c r="H43" s="321"/>
      <c r="I43" s="2131"/>
      <c r="J43" s="2132"/>
      <c r="K43" s="2133">
        <f t="shared" si="0"/>
        <v>0</v>
      </c>
      <c r="L43" s="2135"/>
      <c r="M43" s="2135"/>
      <c r="N43" s="2130">
        <f t="shared" si="1"/>
        <v>0</v>
      </c>
    </row>
    <row r="44" spans="1:14">
      <c r="B44" s="301" t="str">
        <f>+B$33+1&amp;"e"</f>
        <v>9e</v>
      </c>
      <c r="D44" s="302"/>
      <c r="E44" s="304"/>
      <c r="F44" s="304"/>
      <c r="G44" s="320"/>
      <c r="H44" s="321"/>
      <c r="I44" s="2131"/>
      <c r="J44" s="2132"/>
      <c r="K44" s="2133">
        <f t="shared" si="0"/>
        <v>0</v>
      </c>
      <c r="L44" s="2135"/>
      <c r="M44" s="2135"/>
      <c r="N44" s="2130">
        <f t="shared" si="1"/>
        <v>0</v>
      </c>
    </row>
    <row r="45" spans="1:14">
      <c r="B45" s="301">
        <f>+B39+1</f>
        <v>10</v>
      </c>
      <c r="D45" s="323" t="s">
        <v>777</v>
      </c>
      <c r="E45" s="323"/>
      <c r="F45" s="323"/>
      <c r="G45" s="323"/>
      <c r="H45" s="323"/>
      <c r="I45" s="2136">
        <f>+SUM(I40:I44)</f>
        <v>0</v>
      </c>
      <c r="J45" s="2136">
        <f t="shared" ref="J45:K45" si="2">+SUM(J40:J44)</f>
        <v>0</v>
      </c>
      <c r="K45" s="2136">
        <f t="shared" si="2"/>
        <v>0</v>
      </c>
      <c r="L45" s="2137"/>
      <c r="M45" s="2137"/>
      <c r="N45" s="2136">
        <f>+SUM(N40:N44)</f>
        <v>0</v>
      </c>
    </row>
    <row r="46" spans="1:14">
      <c r="B46" s="314"/>
    </row>
    <row r="47" spans="1:14" ht="18">
      <c r="A47" s="172"/>
      <c r="B47" s="324" t="s">
        <v>314</v>
      </c>
      <c r="C47" s="324"/>
      <c r="D47" s="324"/>
      <c r="E47" s="324"/>
      <c r="F47" s="324"/>
      <c r="G47" s="324"/>
      <c r="H47" s="324"/>
      <c r="I47" s="324"/>
      <c r="J47" s="172"/>
    </row>
    <row r="48" spans="1:14" ht="23.25" customHeight="1">
      <c r="A48" s="172"/>
      <c r="B48" s="325">
        <v>1</v>
      </c>
      <c r="C48" s="326"/>
      <c r="D48" s="2392" t="s">
        <v>786</v>
      </c>
      <c r="E48" s="2392"/>
      <c r="F48" s="2392"/>
      <c r="G48" s="2392"/>
      <c r="H48" s="2392"/>
      <c r="I48" s="2392"/>
      <c r="J48" s="2392"/>
      <c r="K48" s="2392"/>
      <c r="L48" s="2392"/>
      <c r="M48" s="2392"/>
      <c r="N48" s="2392"/>
    </row>
    <row r="49" spans="1:15" ht="18">
      <c r="A49" s="172"/>
      <c r="B49" s="325">
        <v>2</v>
      </c>
      <c r="C49" s="327"/>
      <c r="D49" s="2392" t="s">
        <v>921</v>
      </c>
      <c r="E49" s="2392"/>
      <c r="F49" s="2392"/>
      <c r="G49" s="2392"/>
      <c r="H49" s="2392"/>
      <c r="I49" s="2392"/>
      <c r="J49" s="2392"/>
      <c r="K49" s="2392"/>
      <c r="L49" s="2392"/>
      <c r="M49" s="2392"/>
      <c r="N49" s="2392"/>
      <c r="O49" s="286"/>
    </row>
    <row r="50" spans="1:15" ht="33" customHeight="1">
      <c r="A50" s="172"/>
      <c r="B50" s="325">
        <v>3</v>
      </c>
      <c r="C50" s="290"/>
      <c r="D50" s="2392" t="s">
        <v>783</v>
      </c>
      <c r="E50" s="2392"/>
      <c r="F50" s="2392"/>
      <c r="G50" s="2392"/>
      <c r="H50" s="2392"/>
      <c r="I50" s="2392"/>
      <c r="J50" s="2392"/>
      <c r="K50" s="2392"/>
      <c r="L50" s="2392"/>
      <c r="M50" s="2392"/>
      <c r="N50" s="2392"/>
      <c r="O50" s="286"/>
    </row>
    <row r="51" spans="1:15" ht="18">
      <c r="A51" s="88"/>
      <c r="B51" s="325">
        <v>4</v>
      </c>
      <c r="C51" s="88"/>
      <c r="D51" s="2392" t="s">
        <v>922</v>
      </c>
      <c r="E51" s="2392"/>
      <c r="F51" s="2392"/>
      <c r="G51" s="2392"/>
      <c r="H51" s="2392"/>
      <c r="I51" s="2392"/>
      <c r="J51" s="2392"/>
      <c r="K51" s="2392"/>
      <c r="L51" s="2392"/>
      <c r="M51" s="2392"/>
      <c r="N51" s="2392"/>
      <c r="O51" s="295"/>
    </row>
    <row r="52" spans="1:15" ht="30.75" customHeight="1">
      <c r="B52" s="325">
        <v>5</v>
      </c>
      <c r="C52" s="88"/>
      <c r="D52" s="2392" t="s">
        <v>793</v>
      </c>
      <c r="E52" s="2392"/>
      <c r="F52" s="2392"/>
      <c r="G52" s="2392"/>
      <c r="H52" s="2392"/>
      <c r="I52" s="2392"/>
      <c r="J52" s="2392"/>
      <c r="K52" s="2392"/>
      <c r="L52" s="2392"/>
      <c r="M52" s="2392"/>
      <c r="N52" s="2392"/>
    </row>
    <row r="53" spans="1:15" ht="18">
      <c r="B53" s="325">
        <v>6</v>
      </c>
      <c r="C53" s="88"/>
      <c r="D53" s="2392" t="s">
        <v>792</v>
      </c>
      <c r="E53" s="2392"/>
      <c r="F53" s="2392"/>
      <c r="G53" s="2392"/>
      <c r="H53" s="2392"/>
      <c r="I53" s="2392"/>
      <c r="J53" s="2392"/>
      <c r="K53" s="2392"/>
      <c r="L53" s="2392"/>
      <c r="M53" s="2392"/>
      <c r="N53" s="2392"/>
    </row>
    <row r="54" spans="1:15">
      <c r="B54" s="314">
        <v>7</v>
      </c>
    </row>
  </sheetData>
  <mergeCells count="13">
    <mergeCell ref="A2:J2"/>
    <mergeCell ref="A3:J3"/>
    <mergeCell ref="A4:J4"/>
    <mergeCell ref="A5:J5"/>
    <mergeCell ref="D38:E38"/>
    <mergeCell ref="D7:E7"/>
    <mergeCell ref="D8:E8"/>
    <mergeCell ref="D53:N53"/>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3"/>
  <sheetViews>
    <sheetView topLeftCell="A28" zoomScaleNormal="100" workbookViewId="0">
      <selection activeCell="B22" sqref="B22"/>
    </sheetView>
  </sheetViews>
  <sheetFormatPr defaultColWidth="9.1796875" defaultRowHeight="12.5"/>
  <cols>
    <col min="1" max="1" width="11.81640625" style="329" customWidth="1"/>
    <col min="2" max="2" width="53.453125" style="329" customWidth="1"/>
    <col min="3" max="3" width="36.54296875" style="329" customWidth="1"/>
    <col min="4" max="4" width="26.453125" style="329" customWidth="1"/>
    <col min="5" max="16384" width="9.1796875" style="329"/>
  </cols>
  <sheetData>
    <row r="1" spans="1:10" ht="15.5">
      <c r="A1" s="328"/>
    </row>
    <row r="2" spans="1:10" ht="15.5">
      <c r="A2" s="2395" t="s">
        <v>644</v>
      </c>
      <c r="B2" s="2395"/>
      <c r="C2" s="2395"/>
      <c r="D2" s="330"/>
      <c r="E2" s="330"/>
      <c r="F2" s="330"/>
      <c r="G2" s="330"/>
      <c r="H2" s="330"/>
      <c r="I2" s="330"/>
      <c r="J2" s="330"/>
    </row>
    <row r="3" spans="1:10" ht="15.5">
      <c r="A3" s="2396" t="s">
        <v>1897</v>
      </c>
      <c r="B3" s="2396"/>
      <c r="C3" s="2396"/>
      <c r="D3" s="331"/>
      <c r="E3" s="331"/>
      <c r="F3" s="331"/>
      <c r="G3" s="331"/>
      <c r="H3" s="331"/>
      <c r="I3" s="331"/>
      <c r="J3" s="331"/>
    </row>
    <row r="4" spans="1:10" ht="15.5">
      <c r="A4" s="2397" t="s">
        <v>939</v>
      </c>
      <c r="B4" s="2397"/>
      <c r="C4" s="2397"/>
      <c r="D4" s="331"/>
      <c r="E4" s="331"/>
      <c r="F4" s="331"/>
      <c r="G4" s="331"/>
      <c r="H4" s="331"/>
      <c r="I4" s="331"/>
      <c r="J4" s="331"/>
    </row>
    <row r="5" spans="1:10" ht="15.5">
      <c r="A5" s="2398" t="s">
        <v>680</v>
      </c>
      <c r="B5" s="2398"/>
      <c r="C5" s="2398"/>
      <c r="D5" s="332"/>
      <c r="E5" s="332"/>
      <c r="F5" s="332"/>
      <c r="G5" s="332"/>
      <c r="H5" s="332"/>
      <c r="I5" s="332"/>
      <c r="J5" s="332"/>
    </row>
    <row r="8" spans="1:10" ht="15.5">
      <c r="A8" s="2399" t="s">
        <v>797</v>
      </c>
      <c r="B8" s="2399"/>
      <c r="C8" s="2399"/>
    </row>
    <row r="9" spans="1:10" ht="15.5">
      <c r="A9" s="2394" t="s">
        <v>1895</v>
      </c>
      <c r="B9" s="2394"/>
      <c r="C9" s="2394"/>
      <c r="D9" s="2234"/>
      <c r="E9" s="2234"/>
      <c r="F9" s="2234"/>
      <c r="G9" s="2234"/>
    </row>
    <row r="10" spans="1:10" ht="15.5">
      <c r="A10" s="2394" t="s">
        <v>1896</v>
      </c>
      <c r="B10" s="2394"/>
      <c r="C10" s="2394"/>
      <c r="D10" s="2234"/>
      <c r="E10" s="2234"/>
      <c r="F10" s="2234"/>
      <c r="G10" s="2234"/>
    </row>
    <row r="11" spans="1:10" ht="15.5">
      <c r="A11" s="333"/>
      <c r="B11" s="333"/>
      <c r="C11" s="333"/>
    </row>
    <row r="12" spans="1:10" ht="15.5">
      <c r="A12" s="334" t="s">
        <v>798</v>
      </c>
      <c r="B12" s="328"/>
      <c r="C12" s="335"/>
    </row>
    <row r="13" spans="1:10" ht="15.5">
      <c r="A13" s="328"/>
      <c r="B13" s="328"/>
      <c r="C13" s="328"/>
    </row>
    <row r="14" spans="1:10" ht="15.5">
      <c r="A14" s="336" t="s">
        <v>799</v>
      </c>
      <c r="B14" s="337" t="s">
        <v>800</v>
      </c>
      <c r="C14" s="336" t="s">
        <v>801</v>
      </c>
    </row>
    <row r="15" spans="1:10" ht="15.5">
      <c r="A15" s="328"/>
      <c r="B15" s="328"/>
      <c r="C15" s="328"/>
    </row>
    <row r="16" spans="1:10" ht="15.5">
      <c r="A16" s="330">
        <v>350.1</v>
      </c>
      <c r="B16" s="328" t="s">
        <v>802</v>
      </c>
      <c r="C16" s="338">
        <v>1.1900000000000001E-2</v>
      </c>
    </row>
    <row r="17" spans="1:3" ht="15.5">
      <c r="A17" s="339">
        <v>352</v>
      </c>
      <c r="B17" s="328" t="s">
        <v>803</v>
      </c>
      <c r="C17" s="338">
        <v>1.8499999999999999E-2</v>
      </c>
    </row>
    <row r="18" spans="1:3" ht="15.5">
      <c r="A18" s="339">
        <v>353</v>
      </c>
      <c r="B18" s="328" t="s">
        <v>804</v>
      </c>
      <c r="C18" s="338">
        <v>1.8200000000000001E-2</v>
      </c>
    </row>
    <row r="19" spans="1:3" ht="15.5">
      <c r="A19" s="339">
        <v>354</v>
      </c>
      <c r="B19" s="328" t="s">
        <v>805</v>
      </c>
      <c r="C19" s="338">
        <v>2.7199999999999998E-2</v>
      </c>
    </row>
    <row r="20" spans="1:3" ht="15.5">
      <c r="A20" s="339">
        <v>355</v>
      </c>
      <c r="B20" s="328" t="s">
        <v>806</v>
      </c>
      <c r="C20" s="338">
        <v>4.2000000000000003E-2</v>
      </c>
    </row>
    <row r="21" spans="1:3" ht="15.5">
      <c r="A21" s="339">
        <v>356</v>
      </c>
      <c r="B21" s="328" t="s">
        <v>807</v>
      </c>
      <c r="C21" s="338">
        <v>2.7300000000000001E-2</v>
      </c>
    </row>
    <row r="22" spans="1:3" ht="15.5">
      <c r="A22" s="339">
        <v>358</v>
      </c>
      <c r="B22" s="328" t="s">
        <v>808</v>
      </c>
      <c r="C22" s="338">
        <v>1.8700000000000001E-2</v>
      </c>
    </row>
    <row r="23" spans="1:3" ht="15.5">
      <c r="A23" s="328"/>
      <c r="B23" s="328"/>
      <c r="C23" s="340"/>
    </row>
    <row r="24" spans="1:3" ht="15.5">
      <c r="A24" s="328"/>
      <c r="B24" s="328"/>
      <c r="C24" s="328"/>
    </row>
    <row r="25" spans="1:3" ht="15.5">
      <c r="A25" s="334" t="s">
        <v>809</v>
      </c>
      <c r="B25" s="328"/>
      <c r="C25" s="328"/>
    </row>
    <row r="26" spans="1:3" ht="15.5">
      <c r="A26" s="334"/>
      <c r="B26" s="328"/>
      <c r="C26" s="328"/>
    </row>
    <row r="27" spans="1:3" ht="15.5">
      <c r="A27" s="336" t="s">
        <v>799</v>
      </c>
      <c r="B27" s="337" t="s">
        <v>800</v>
      </c>
      <c r="C27" s="336" t="s">
        <v>801</v>
      </c>
    </row>
    <row r="28" spans="1:3" ht="15.5">
      <c r="A28" s="328"/>
      <c r="B28" s="328"/>
      <c r="C28" s="328"/>
    </row>
    <row r="29" spans="1:3" ht="15.5">
      <c r="A29" s="339">
        <v>390</v>
      </c>
      <c r="B29" s="328" t="s">
        <v>803</v>
      </c>
      <c r="C29" s="338">
        <v>1.9599999999999999E-2</v>
      </c>
    </row>
    <row r="30" spans="1:3" ht="15.5">
      <c r="A30" s="339">
        <v>391</v>
      </c>
      <c r="B30" s="328" t="s">
        <v>810</v>
      </c>
      <c r="C30" s="338">
        <v>5.8599999999999999E-2</v>
      </c>
    </row>
    <row r="31" spans="1:3" ht="15.5">
      <c r="A31" s="341">
        <v>391.11</v>
      </c>
      <c r="B31" s="328" t="s">
        <v>811</v>
      </c>
      <c r="C31" s="338">
        <v>0.2356</v>
      </c>
    </row>
    <row r="32" spans="1:3" ht="15.5">
      <c r="A32" s="339">
        <v>392</v>
      </c>
      <c r="B32" s="328" t="s">
        <v>812</v>
      </c>
      <c r="C32" s="338">
        <v>7.46E-2</v>
      </c>
    </row>
    <row r="33" spans="1:3" ht="15.5">
      <c r="A33" s="339">
        <v>393</v>
      </c>
      <c r="B33" s="328" t="s">
        <v>813</v>
      </c>
      <c r="C33" s="338">
        <v>3.8699999999999998E-2</v>
      </c>
    </row>
    <row r="34" spans="1:3" ht="15.5">
      <c r="A34" s="339">
        <v>394</v>
      </c>
      <c r="B34" s="328" t="s">
        <v>814</v>
      </c>
      <c r="C34" s="338">
        <v>4.3900000000000002E-2</v>
      </c>
    </row>
    <row r="35" spans="1:3" ht="15.5">
      <c r="A35" s="339">
        <v>395</v>
      </c>
      <c r="B35" s="328" t="s">
        <v>815</v>
      </c>
      <c r="C35" s="338">
        <v>6.0999999999999999E-2</v>
      </c>
    </row>
    <row r="36" spans="1:3" ht="15.5">
      <c r="A36" s="339">
        <v>396</v>
      </c>
      <c r="B36" s="328" t="s">
        <v>816</v>
      </c>
      <c r="C36" s="338">
        <v>9.35E-2</v>
      </c>
    </row>
    <row r="37" spans="1:3" ht="15.5">
      <c r="A37" s="339">
        <v>397</v>
      </c>
      <c r="B37" s="328" t="s">
        <v>817</v>
      </c>
      <c r="C37" s="338">
        <v>7.0300000000000001E-2</v>
      </c>
    </row>
    <row r="38" spans="1:3" ht="15.5">
      <c r="A38" s="341">
        <v>397.16</v>
      </c>
      <c r="B38" s="328" t="s">
        <v>818</v>
      </c>
      <c r="C38" s="338">
        <v>7.2499999999999995E-2</v>
      </c>
    </row>
    <row r="39" spans="1:3" ht="15.5">
      <c r="A39" s="339">
        <v>398</v>
      </c>
      <c r="B39" s="328" t="s">
        <v>819</v>
      </c>
      <c r="C39" s="338">
        <v>5.8200000000000002E-2</v>
      </c>
    </row>
    <row r="40" spans="1:3" ht="15.5">
      <c r="A40" s="339"/>
      <c r="B40" s="328"/>
      <c r="C40" s="338"/>
    </row>
    <row r="43" spans="1:3" ht="30.75" customHeight="1">
      <c r="A43" s="2393" t="s">
        <v>957</v>
      </c>
      <c r="B43" s="2393"/>
      <c r="C43" s="2393"/>
    </row>
  </sheetData>
  <mergeCells count="8">
    <mergeCell ref="A43:C43"/>
    <mergeCell ref="A9:C9"/>
    <mergeCell ref="A2:C2"/>
    <mergeCell ref="A3:C3"/>
    <mergeCell ref="A4:C4"/>
    <mergeCell ref="A5:C5"/>
    <mergeCell ref="A8:C8"/>
    <mergeCell ref="A10:C10"/>
  </mergeCells>
  <pageMargins left="0.7" right="0.7" top="0.75" bottom="0.75" header="0.3" footer="0.3"/>
  <pageSetup scale="86" orientation="portrait" r:id="rId1"/>
  <headerFooter>
    <oddHeader xml:space="preserve">&amp;RAEP - SPP Formula Rate
TCOS - WS T
Page: &amp;P of &amp;N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249977111117893"/>
    <pageSetUpPr fitToPage="1"/>
  </sheetPr>
  <dimension ref="A2:U502"/>
  <sheetViews>
    <sheetView zoomScale="70" zoomScaleNormal="70" zoomScaleSheetLayoutView="75" zoomScalePageLayoutView="70" workbookViewId="0">
      <selection activeCell="G98" sqref="G98"/>
    </sheetView>
  </sheetViews>
  <sheetFormatPr defaultColWidth="11.453125" defaultRowHeight="15.5"/>
  <cols>
    <col min="1" max="1" width="4.54296875" style="497" customWidth="1"/>
    <col min="2" max="2" width="7.81640625" style="565" customWidth="1"/>
    <col min="3" max="3" width="1.81640625" style="497" customWidth="1"/>
    <col min="4" max="4" width="63.453125" style="497" customWidth="1"/>
    <col min="5" max="5" width="37.453125" style="497" customWidth="1"/>
    <col min="6" max="6" width="26.1796875" style="497" customWidth="1"/>
    <col min="7" max="7" width="20.54296875" style="497" customWidth="1"/>
    <col min="8" max="8" width="18.81640625" style="497" customWidth="1"/>
    <col min="9" max="9" width="17.453125" style="497" customWidth="1"/>
    <col min="10" max="10" width="21.81640625" style="497" bestFit="1" customWidth="1"/>
    <col min="11" max="11" width="4.54296875" style="497" customWidth="1"/>
    <col min="12" max="12" width="21.1796875" style="497" customWidth="1"/>
    <col min="13" max="13" width="19.453125" style="497" customWidth="1"/>
    <col min="14" max="14" width="12.81640625" style="497" customWidth="1"/>
    <col min="15" max="15" width="3.1796875" style="497" customWidth="1"/>
    <col min="16" max="16" width="21.81640625" style="497" customWidth="1"/>
    <col min="17" max="17" width="11.453125" style="497" customWidth="1"/>
    <col min="18" max="18" width="20.54296875" style="497" bestFit="1" customWidth="1"/>
    <col min="19" max="16384" width="11.453125" style="497"/>
  </cols>
  <sheetData>
    <row r="2" spans="2:16">
      <c r="D2" s="286"/>
      <c r="E2" s="566"/>
      <c r="F2" s="566"/>
      <c r="G2" s="567"/>
      <c r="I2" s="505"/>
      <c r="J2" s="505"/>
      <c r="K2" s="505"/>
      <c r="N2" s="2094">
        <f>+'PSO TCOS'!N2</f>
        <v>2024</v>
      </c>
      <c r="P2" s="497" t="s">
        <v>418</v>
      </c>
    </row>
    <row r="3" spans="2:16">
      <c r="N3" s="568"/>
    </row>
    <row r="4" spans="2:16">
      <c r="D4" s="495"/>
      <c r="E4" s="495"/>
      <c r="F4" s="47" t="s">
        <v>644</v>
      </c>
      <c r="G4" s="18"/>
      <c r="H4" s="18"/>
      <c r="J4" s="495"/>
      <c r="K4" s="495"/>
      <c r="L4" s="495"/>
      <c r="M4" s="569"/>
    </row>
    <row r="5" spans="2:16">
      <c r="D5" s="495"/>
      <c r="E5" s="570"/>
      <c r="F5" s="47" t="s">
        <v>50</v>
      </c>
      <c r="G5" s="18"/>
      <c r="H5" s="18"/>
      <c r="J5" s="570"/>
      <c r="K5" s="495"/>
      <c r="L5" s="495"/>
      <c r="M5" s="569"/>
    </row>
    <row r="6" spans="2:16">
      <c r="D6" s="495"/>
      <c r="E6" s="495"/>
      <c r="F6" s="115" t="str">
        <f>"Utilizing Actual / Projected Cost Data for the "&amp;N2&amp;" Rate Year"</f>
        <v>Utilizing Actual / Projected Cost Data for the 2024 Rate Year</v>
      </c>
      <c r="G6" s="18"/>
      <c r="H6" s="18"/>
      <c r="J6" s="495"/>
      <c r="K6" s="495"/>
      <c r="L6" s="495"/>
      <c r="M6" s="569"/>
    </row>
    <row r="7" spans="2:16">
      <c r="B7" s="571"/>
      <c r="C7" s="572"/>
      <c r="D7" s="495"/>
      <c r="H7" s="573"/>
      <c r="I7" s="573"/>
      <c r="J7" s="573"/>
      <c r="K7" s="573"/>
      <c r="L7" s="495"/>
      <c r="M7" s="495"/>
    </row>
    <row r="8" spans="2:16">
      <c r="B8" s="571"/>
      <c r="C8" s="572"/>
      <c r="D8" s="286"/>
      <c r="E8" s="495"/>
      <c r="F8" s="574" t="s">
        <v>567</v>
      </c>
      <c r="G8" s="575"/>
      <c r="H8" s="495"/>
      <c r="I8" s="495"/>
      <c r="J8" s="495"/>
      <c r="K8" s="495"/>
      <c r="L8" s="286"/>
      <c r="M8" s="286"/>
      <c r="N8" s="286"/>
    </row>
    <row r="9" spans="2:16">
      <c r="B9" s="571"/>
      <c r="C9" s="572"/>
      <c r="D9" s="495"/>
      <c r="E9" s="495"/>
      <c r="F9" s="576"/>
      <c r="G9" s="575"/>
      <c r="H9" s="495"/>
      <c r="I9" s="495"/>
      <c r="J9" s="495"/>
      <c r="K9" s="495"/>
      <c r="L9" s="286"/>
      <c r="M9" s="286"/>
      <c r="N9" s="286"/>
    </row>
    <row r="10" spans="2:16">
      <c r="B10" s="571" t="s">
        <v>308</v>
      </c>
      <c r="C10" s="572"/>
      <c r="D10" s="495"/>
      <c r="E10" s="495"/>
      <c r="F10" s="495"/>
      <c r="G10" s="575"/>
      <c r="H10" s="495"/>
      <c r="I10" s="495"/>
      <c r="J10" s="495"/>
      <c r="K10" s="495"/>
      <c r="L10" s="572" t="s">
        <v>255</v>
      </c>
      <c r="M10" s="286"/>
      <c r="N10" s="286"/>
    </row>
    <row r="11" spans="2:16" ht="16" thickBot="1">
      <c r="B11" s="577" t="s">
        <v>257</v>
      </c>
      <c r="C11" s="572"/>
      <c r="D11" s="495"/>
      <c r="E11" s="572"/>
      <c r="F11" s="495"/>
      <c r="G11" s="495"/>
      <c r="H11" s="495"/>
      <c r="I11" s="495"/>
      <c r="J11" s="495"/>
      <c r="K11" s="495"/>
      <c r="L11" s="578" t="s">
        <v>309</v>
      </c>
      <c r="M11" s="286"/>
      <c r="N11" s="286"/>
    </row>
    <row r="12" spans="2:16">
      <c r="B12" s="571">
        <v>1</v>
      </c>
      <c r="C12" s="572"/>
      <c r="D12" s="18" t="s">
        <v>251</v>
      </c>
      <c r="E12" s="495" t="str">
        <f>"(ln "&amp;B193&amp;")"</f>
        <v>(ln 117)</v>
      </c>
      <c r="F12" s="495"/>
      <c r="G12" s="570"/>
      <c r="H12" s="579"/>
      <c r="I12" s="495"/>
      <c r="J12" s="495"/>
      <c r="K12" s="495"/>
      <c r="L12" s="496">
        <f>+L193</f>
        <v>307794887.42342484</v>
      </c>
      <c r="M12" s="286"/>
      <c r="N12" s="286"/>
    </row>
    <row r="13" spans="2:16" ht="16" thickBot="1">
      <c r="B13" s="571"/>
      <c r="C13" s="572"/>
      <c r="E13" s="580"/>
      <c r="F13" s="570"/>
      <c r="G13" s="578" t="s">
        <v>258</v>
      </c>
      <c r="H13" s="570"/>
      <c r="I13" s="581" t="s">
        <v>259</v>
      </c>
      <c r="J13" s="581"/>
      <c r="K13" s="495"/>
      <c r="L13" s="570"/>
      <c r="M13" s="286"/>
      <c r="N13" s="286"/>
    </row>
    <row r="14" spans="2:16">
      <c r="B14" s="571">
        <f>+B12+1</f>
        <v>2</v>
      </c>
      <c r="C14" s="572"/>
      <c r="D14" s="18" t="s">
        <v>307</v>
      </c>
      <c r="E14" s="580" t="s">
        <v>624</v>
      </c>
      <c r="F14" s="570"/>
      <c r="G14" s="582">
        <f>+'SWEPCO WS H Rev Credits'!M52</f>
        <v>19207371.894000009</v>
      </c>
      <c r="H14" s="570"/>
      <c r="I14" s="583" t="s">
        <v>269</v>
      </c>
      <c r="J14" s="584">
        <v>1</v>
      </c>
      <c r="K14" s="570"/>
      <c r="L14" s="585">
        <f>+J14*G14</f>
        <v>19207371.894000009</v>
      </c>
      <c r="M14" s="286"/>
      <c r="N14" s="286"/>
    </row>
    <row r="15" spans="2:16">
      <c r="B15" s="571"/>
      <c r="C15" s="572"/>
      <c r="D15" s="18"/>
      <c r="E15" s="580"/>
      <c r="F15" s="570"/>
      <c r="G15" s="582"/>
      <c r="H15" s="570"/>
      <c r="I15" s="583"/>
      <c r="J15" s="584"/>
      <c r="K15" s="570"/>
      <c r="L15" s="585"/>
      <c r="M15" s="286"/>
      <c r="N15" s="286"/>
    </row>
    <row r="16" spans="2:16">
      <c r="B16" s="571">
        <f>+B14+1</f>
        <v>3</v>
      </c>
      <c r="C16" s="572"/>
      <c r="D16" s="18" t="s">
        <v>531</v>
      </c>
      <c r="E16" s="580" t="s">
        <v>647</v>
      </c>
      <c r="F16" s="570"/>
      <c r="G16" s="586"/>
      <c r="H16" s="570"/>
      <c r="I16" s="583"/>
      <c r="J16" s="584"/>
      <c r="K16" s="495"/>
      <c r="L16" s="2102">
        <f>+'SWEPCO WS B - Facility credits'!D9</f>
        <v>0</v>
      </c>
      <c r="M16" s="286"/>
      <c r="N16" s="286"/>
    </row>
    <row r="17" spans="2:14">
      <c r="B17" s="571"/>
      <c r="C17" s="572"/>
      <c r="E17" s="580"/>
      <c r="F17" s="570"/>
      <c r="G17" s="572"/>
      <c r="H17" s="570"/>
      <c r="I17" s="587"/>
      <c r="J17" s="587"/>
      <c r="K17" s="495"/>
      <c r="L17" s="570"/>
      <c r="M17" s="286"/>
      <c r="N17" s="286"/>
    </row>
    <row r="18" spans="2:14" ht="16" thickBot="1">
      <c r="B18" s="571">
        <f>+B16+1</f>
        <v>4</v>
      </c>
      <c r="C18" s="572"/>
      <c r="D18" s="588" t="s">
        <v>33</v>
      </c>
      <c r="E18" s="580" t="str">
        <f>"(ln "&amp;B12&amp;" less ln "&amp;B14&amp;" plus ln " &amp;B16&amp;")"</f>
        <v>(ln 1 less ln 2 plus ln 3)</v>
      </c>
      <c r="F18" s="495"/>
      <c r="H18" s="570"/>
      <c r="I18" s="583"/>
      <c r="J18" s="570"/>
      <c r="K18" s="570"/>
      <c r="L18" s="589">
        <f>+L12-L14+L16</f>
        <v>288587515.52942485</v>
      </c>
      <c r="M18" s="286"/>
      <c r="N18" s="286"/>
    </row>
    <row r="19" spans="2:14" ht="16" thickTop="1">
      <c r="B19" s="571"/>
      <c r="C19" s="572"/>
      <c r="D19" s="18"/>
      <c r="E19" s="580"/>
      <c r="F19" s="495"/>
      <c r="H19" s="570"/>
      <c r="I19" s="583"/>
      <c r="J19" s="570"/>
      <c r="K19" s="570"/>
      <c r="L19" s="585"/>
      <c r="M19" s="286"/>
      <c r="N19" s="286"/>
    </row>
    <row r="20" spans="2:14" ht="15" customHeight="1">
      <c r="B20" s="2266"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266"/>
      <c r="D20" s="2266"/>
      <c r="E20" s="2266"/>
      <c r="F20" s="2266"/>
      <c r="G20" s="2266"/>
      <c r="H20" s="2266"/>
      <c r="I20" s="2266"/>
      <c r="J20" s="286"/>
      <c r="M20" s="286"/>
      <c r="N20" s="286"/>
    </row>
    <row r="21" spans="2:14" ht="18.75" customHeight="1">
      <c r="B21" s="2266"/>
      <c r="C21" s="2266"/>
      <c r="D21" s="2266"/>
      <c r="E21" s="2266"/>
      <c r="F21" s="2266"/>
      <c r="G21" s="2266"/>
      <c r="H21" s="2266"/>
      <c r="I21" s="2266"/>
      <c r="J21" s="286"/>
      <c r="K21" s="286"/>
      <c r="L21" s="286"/>
      <c r="M21" s="286"/>
      <c r="N21" s="286"/>
    </row>
    <row r="22" spans="2:14" ht="15" customHeight="1">
      <c r="B22" s="590"/>
      <c r="C22" s="590"/>
      <c r="D22" s="590"/>
      <c r="E22" s="590"/>
      <c r="F22" s="590"/>
      <c r="G22" s="590"/>
      <c r="H22" s="590"/>
      <c r="I22" s="590"/>
      <c r="M22" s="286"/>
      <c r="N22" s="286"/>
    </row>
    <row r="23" spans="2:14">
      <c r="B23" s="571">
        <f>+B18+1</f>
        <v>5</v>
      </c>
      <c r="C23" s="572"/>
      <c r="D23" s="2274" t="s">
        <v>648</v>
      </c>
      <c r="E23" s="2274"/>
      <c r="F23" s="570"/>
      <c r="G23" s="582">
        <f>+'SWEPCO WS G BPU ATRR'!N19</f>
        <v>84895526.749874592</v>
      </c>
      <c r="H23" s="570"/>
      <c r="I23" s="583" t="s">
        <v>269</v>
      </c>
      <c r="J23" s="584">
        <v>1</v>
      </c>
      <c r="K23" s="495"/>
      <c r="L23" s="585">
        <f>+J23*G23</f>
        <v>84895526.749874592</v>
      </c>
      <c r="M23" s="286"/>
      <c r="N23" s="286"/>
    </row>
    <row r="24" spans="2:14">
      <c r="B24" s="571"/>
      <c r="C24" s="572"/>
      <c r="D24" s="2274"/>
      <c r="E24" s="2274"/>
      <c r="F24" s="570"/>
      <c r="G24" s="582"/>
      <c r="H24" s="570"/>
      <c r="I24" s="570"/>
      <c r="J24" s="584"/>
      <c r="K24" s="495"/>
      <c r="L24" s="585"/>
      <c r="M24" s="286"/>
      <c r="N24" s="286"/>
    </row>
    <row r="25" spans="2:14">
      <c r="B25" s="571">
        <f>+B23+1</f>
        <v>6</v>
      </c>
      <c r="C25" s="572"/>
      <c r="D25" s="18" t="s">
        <v>34</v>
      </c>
      <c r="E25" s="580"/>
      <c r="F25" s="495"/>
      <c r="G25" s="591"/>
      <c r="H25" s="495"/>
      <c r="J25" s="495"/>
      <c r="K25" s="495"/>
      <c r="M25" s="286"/>
      <c r="N25" s="286"/>
    </row>
    <row r="26" spans="2:14">
      <c r="B26" s="571">
        <f>B25+1</f>
        <v>7</v>
      </c>
      <c r="C26" s="572"/>
      <c r="D26" s="495" t="s">
        <v>368</v>
      </c>
      <c r="E26" s="495" t="str">
        <f>"(ln "&amp;B12&amp;"/ ln "&amp;B79&amp;" x 100%)"</f>
        <v>(ln 1/ ln 37 x 100%)</v>
      </c>
      <c r="F26" s="572"/>
      <c r="G26" s="572"/>
      <c r="H26" s="572"/>
      <c r="I26" s="592"/>
      <c r="J26" s="592"/>
      <c r="K26" s="592"/>
      <c r="L26" s="593">
        <f>IF(L79=0,0,(L12)/L79)</f>
        <v>0.15454277067608646</v>
      </c>
      <c r="M26" s="286"/>
      <c r="N26" s="286"/>
    </row>
    <row r="27" spans="2:14">
      <c r="B27" s="571">
        <f>B26+1</f>
        <v>8</v>
      </c>
      <c r="C27" s="572"/>
      <c r="D27" s="495" t="s">
        <v>369</v>
      </c>
      <c r="E27" s="495" t="str">
        <f>"(ln "&amp;B26&amp;" / 12)"</f>
        <v>(ln 7 / 12)</v>
      </c>
      <c r="F27" s="572"/>
      <c r="G27" s="572"/>
      <c r="H27" s="572"/>
      <c r="I27" s="592"/>
      <c r="J27" s="592"/>
      <c r="K27" s="592"/>
      <c r="L27" s="593">
        <f>L26/12</f>
        <v>1.2878564223007205E-2</v>
      </c>
      <c r="M27" s="286"/>
      <c r="N27" s="286"/>
    </row>
    <row r="28" spans="2:14">
      <c r="B28" s="571"/>
      <c r="C28" s="572"/>
      <c r="D28" s="495"/>
      <c r="E28" s="495"/>
      <c r="F28" s="572"/>
      <c r="G28" s="572"/>
      <c r="H28" s="572"/>
      <c r="I28" s="592"/>
      <c r="J28" s="592"/>
      <c r="K28" s="592"/>
      <c r="L28" s="593"/>
      <c r="M28" s="286"/>
      <c r="N28" s="286"/>
    </row>
    <row r="29" spans="2:14">
      <c r="B29" s="571">
        <f>B27+1</f>
        <v>9</v>
      </c>
      <c r="C29" s="572"/>
      <c r="D29" s="18" t="str">
        <f>"NET PLANT CARRYING CHARGE ON LINE "&amp;B26&amp;" , W/O DEPRECIATION (w/o incentives) (Note B)"</f>
        <v>NET PLANT CARRYING CHARGE ON LINE 7 , W/O DEPRECIATION (w/o incentives) (Note B)</v>
      </c>
      <c r="E29" s="495"/>
      <c r="F29" s="572"/>
      <c r="G29" s="572"/>
      <c r="H29" s="572"/>
      <c r="I29" s="592"/>
      <c r="J29" s="592"/>
      <c r="K29" s="592"/>
      <c r="L29" s="593"/>
      <c r="M29" s="286"/>
      <c r="N29" s="286"/>
    </row>
    <row r="30" spans="2:14">
      <c r="B30" s="571">
        <f>B29+1</f>
        <v>10</v>
      </c>
      <c r="C30" s="572"/>
      <c r="D30" s="495" t="s">
        <v>368</v>
      </c>
      <c r="E30" s="495" t="str">
        <f>"( (ln "&amp;B12&amp;" - ln "&amp;B153&amp;") / ln "&amp;B79&amp;" x 100%)"</f>
        <v>( (ln 1 - ln 86) / ln 37 x 100%)</v>
      </c>
      <c r="F30" s="572"/>
      <c r="G30" s="572"/>
      <c r="H30" s="572"/>
      <c r="I30" s="592"/>
      <c r="J30" s="592"/>
      <c r="K30" s="592"/>
      <c r="L30" s="593">
        <f>IF(L79=0,0,(L12-L153)/L79)</f>
        <v>0.1245263399019997</v>
      </c>
      <c r="M30" s="286"/>
      <c r="N30" s="286"/>
    </row>
    <row r="31" spans="2:14">
      <c r="B31" s="571"/>
      <c r="C31" s="572"/>
      <c r="D31" s="495"/>
      <c r="E31" s="495"/>
      <c r="F31" s="572"/>
      <c r="G31" s="572"/>
      <c r="H31" s="572"/>
      <c r="I31" s="592"/>
      <c r="J31" s="592"/>
      <c r="K31" s="592"/>
      <c r="L31" s="593"/>
      <c r="M31" s="286"/>
      <c r="N31" s="286"/>
    </row>
    <row r="32" spans="2:14">
      <c r="B32" s="571">
        <f>B30+1</f>
        <v>11</v>
      </c>
      <c r="C32" s="572"/>
      <c r="D32" s="18" t="str">
        <f>"NET PLANT CARRYING CHARGE ON LINE "&amp;B29&amp;", W/O  INCOME TAXES, RETURN  (Note B)"</f>
        <v>NET PLANT CARRYING CHARGE ON LINE 9, W/O  INCOME TAXES, RETURN  (Note B)</v>
      </c>
      <c r="E32" s="495"/>
      <c r="F32" s="572"/>
      <c r="G32" s="572"/>
      <c r="H32" s="572"/>
      <c r="I32" s="592"/>
      <c r="J32" s="592"/>
      <c r="K32" s="592"/>
      <c r="L32" s="593"/>
      <c r="M32" s="286"/>
      <c r="N32" s="286"/>
    </row>
    <row r="33" spans="2:16">
      <c r="B33" s="571">
        <f>B32+1</f>
        <v>12</v>
      </c>
      <c r="C33" s="572"/>
      <c r="D33" s="495" t="s">
        <v>368</v>
      </c>
      <c r="E33" s="495" t="str">
        <f>"( (ln "&amp;B12&amp;" - ln "&amp;B153&amp;" - ln "&amp;B182&amp;" - ln "&amp;B184&amp;") / ln "&amp;B79&amp;" x 100%)"</f>
        <v>( (ln 1 - ln 86 - ln 111 - ln 112) / ln 37 x 100%)</v>
      </c>
      <c r="F33" s="572"/>
      <c r="G33" s="572"/>
      <c r="H33" s="572"/>
      <c r="I33" s="592"/>
      <c r="J33" s="592"/>
      <c r="K33" s="592"/>
      <c r="L33" s="594">
        <f>IF(L79=0,0,(L12-L153-L182-L184)/L79)</f>
        <v>4.3973477986695389E-2</v>
      </c>
      <c r="M33" s="286"/>
      <c r="N33" s="286"/>
    </row>
    <row r="34" spans="2:16">
      <c r="B34" s="571"/>
      <c r="C34" s="572"/>
      <c r="D34" s="495"/>
      <c r="E34" s="495"/>
      <c r="F34" s="572"/>
      <c r="G34" s="572"/>
      <c r="H34" s="572"/>
      <c r="I34" s="592"/>
      <c r="J34" s="592"/>
      <c r="K34" s="592"/>
      <c r="L34" s="593"/>
      <c r="M34" s="286"/>
      <c r="N34" s="286"/>
    </row>
    <row r="35" spans="2:16">
      <c r="B35" s="571">
        <f>B33+1</f>
        <v>13</v>
      </c>
      <c r="C35" s="572"/>
      <c r="D35" s="18" t="s">
        <v>675</v>
      </c>
      <c r="E35" s="495"/>
      <c r="F35" s="572"/>
      <c r="G35" s="572"/>
      <c r="H35" s="572"/>
      <c r="I35" s="592"/>
      <c r="J35" s="592"/>
      <c r="K35" s="592"/>
      <c r="L35" s="2101">
        <f>+'SWEPCO WS G BPU ATRR'!P19</f>
        <v>0</v>
      </c>
      <c r="M35" s="286"/>
      <c r="N35" s="286"/>
    </row>
    <row r="36" spans="2:16">
      <c r="B36" s="571"/>
      <c r="C36" s="572"/>
      <c r="E36" s="495"/>
      <c r="F36" s="572"/>
      <c r="G36" s="572"/>
      <c r="H36" s="572"/>
      <c r="I36" s="592"/>
      <c r="J36" s="592"/>
      <c r="K36" s="592"/>
      <c r="L36" s="593"/>
      <c r="M36" s="286"/>
      <c r="N36" s="286"/>
    </row>
    <row r="37" spans="2:16">
      <c r="B37" s="497"/>
      <c r="C37" s="572"/>
      <c r="E37" s="495"/>
      <c r="F37" s="572"/>
      <c r="G37" s="572"/>
      <c r="H37" s="572"/>
      <c r="I37" s="592"/>
      <c r="J37" s="592"/>
      <c r="K37" s="592"/>
      <c r="L37" s="593"/>
      <c r="M37" s="286"/>
      <c r="N37" s="286"/>
    </row>
    <row r="38" spans="2:16">
      <c r="B38" s="571"/>
      <c r="C38" s="572"/>
      <c r="E38" s="495"/>
      <c r="F38" s="572"/>
      <c r="G38" s="572"/>
      <c r="H38" s="572"/>
      <c r="I38" s="592"/>
      <c r="J38" s="592"/>
      <c r="K38" s="592"/>
      <c r="L38" s="593"/>
      <c r="M38" s="286"/>
      <c r="N38" s="286"/>
    </row>
    <row r="39" spans="2:16">
      <c r="B39" s="571"/>
      <c r="C39" s="572"/>
      <c r="E39" s="495"/>
      <c r="F39" s="572"/>
      <c r="G39" s="572"/>
      <c r="H39" s="572"/>
      <c r="I39" s="592"/>
      <c r="J39" s="592"/>
      <c r="K39" s="592"/>
      <c r="L39" s="593"/>
      <c r="M39" s="286"/>
      <c r="N39" s="286"/>
    </row>
    <row r="40" spans="2:16">
      <c r="D40" s="495"/>
      <c r="E40" s="495"/>
      <c r="G40" s="579"/>
      <c r="H40" s="495"/>
      <c r="I40" s="495"/>
      <c r="J40" s="495"/>
      <c r="K40" s="495"/>
      <c r="L40" s="495"/>
      <c r="M40" s="286"/>
      <c r="N40" s="286"/>
    </row>
    <row r="41" spans="2:16">
      <c r="D41" s="495"/>
      <c r="E41" s="495"/>
      <c r="F41" s="572"/>
      <c r="G41" s="579"/>
      <c r="H41" s="495"/>
      <c r="I41" s="495"/>
      <c r="J41" s="495"/>
      <c r="K41" s="495"/>
      <c r="L41" s="495"/>
      <c r="M41" s="286"/>
      <c r="N41" s="286"/>
      <c r="P41" s="596"/>
    </row>
    <row r="42" spans="2:16">
      <c r="D42" s="495"/>
      <c r="E42" s="495"/>
      <c r="F42" s="572" t="str">
        <f>F4</f>
        <v xml:space="preserve">AEP West SPP Member Operating Companies </v>
      </c>
      <c r="G42" s="579"/>
      <c r="H42" s="495"/>
      <c r="I42" s="495"/>
      <c r="J42" s="495"/>
      <c r="K42" s="495"/>
      <c r="L42" s="495"/>
      <c r="M42" s="286"/>
      <c r="N42" s="286"/>
      <c r="P42" s="596"/>
    </row>
    <row r="43" spans="2:16">
      <c r="D43" s="495"/>
      <c r="E43" s="570"/>
      <c r="F43" s="572" t="str">
        <f>F5</f>
        <v>Transmission Cost of Service Formula Rate</v>
      </c>
      <c r="G43" s="570"/>
      <c r="H43" s="570"/>
      <c r="I43" s="570"/>
      <c r="J43" s="570"/>
      <c r="K43" s="570"/>
      <c r="L43" s="570"/>
      <c r="M43" s="286"/>
      <c r="N43" s="286"/>
      <c r="P43" s="597"/>
    </row>
    <row r="44" spans="2:16">
      <c r="D44" s="495"/>
      <c r="E44" s="570"/>
      <c r="F44" s="583" t="str">
        <f>F6</f>
        <v>Utilizing Actual / Projected Cost Data for the 2024 Rate Year</v>
      </c>
      <c r="G44" s="570"/>
      <c r="H44" s="570"/>
      <c r="I44" s="570"/>
      <c r="J44" s="570"/>
      <c r="K44" s="570"/>
      <c r="L44" s="570"/>
      <c r="M44" s="286"/>
      <c r="N44" s="286"/>
      <c r="P44" s="597"/>
    </row>
    <row r="45" spans="2:16">
      <c r="D45" s="495"/>
      <c r="E45" s="570"/>
      <c r="F45" s="572"/>
      <c r="G45" s="570"/>
      <c r="H45" s="570"/>
      <c r="I45" s="570"/>
      <c r="J45" s="570"/>
      <c r="K45" s="570"/>
      <c r="L45" s="570"/>
      <c r="M45" s="286"/>
      <c r="N45" s="286"/>
      <c r="P45" s="597"/>
    </row>
    <row r="46" spans="2:16">
      <c r="D46" s="495"/>
      <c r="E46" s="570"/>
      <c r="F46" s="572" t="str">
        <f>F8</f>
        <v>SOUTHWESTERN ELECTRIC POWER COMPANY</v>
      </c>
      <c r="G46" s="570"/>
      <c r="H46" s="570"/>
      <c r="I46" s="570"/>
      <c r="J46" s="570"/>
      <c r="K46" s="570"/>
      <c r="L46" s="570"/>
      <c r="M46" s="286"/>
      <c r="N46" s="286"/>
      <c r="P46" s="597"/>
    </row>
    <row r="47" spans="2:16">
      <c r="D47" s="495"/>
      <c r="E47" s="583"/>
      <c r="F47" s="583"/>
      <c r="G47" s="583"/>
      <c r="H47" s="583"/>
      <c r="I47" s="583"/>
      <c r="J47" s="583"/>
      <c r="K47" s="583"/>
      <c r="L47" s="570"/>
      <c r="M47" s="286"/>
      <c r="N47" s="286"/>
      <c r="P47" s="597"/>
    </row>
    <row r="48" spans="2:16">
      <c r="D48" s="572" t="s">
        <v>261</v>
      </c>
      <c r="E48" s="572" t="s">
        <v>262</v>
      </c>
      <c r="F48" s="572"/>
      <c r="G48" s="572" t="s">
        <v>263</v>
      </c>
      <c r="H48" s="570" t="s">
        <v>254</v>
      </c>
      <c r="I48" s="2269" t="s">
        <v>264</v>
      </c>
      <c r="J48" s="2270"/>
      <c r="K48" s="570"/>
      <c r="L48" s="573" t="s">
        <v>265</v>
      </c>
      <c r="M48" s="286"/>
      <c r="N48" s="286"/>
    </row>
    <row r="49" spans="2:16">
      <c r="B49" s="497"/>
      <c r="D49" s="286"/>
      <c r="E49" s="286"/>
      <c r="F49" s="286"/>
      <c r="G49" s="598"/>
      <c r="H49" s="570"/>
      <c r="I49" s="570"/>
      <c r="J49" s="599"/>
      <c r="K49" s="570"/>
      <c r="M49" s="286"/>
      <c r="N49" s="286"/>
    </row>
    <row r="50" spans="2:16">
      <c r="B50" s="600"/>
      <c r="C50" s="572"/>
      <c r="D50" s="286"/>
      <c r="E50" s="601" t="s">
        <v>240</v>
      </c>
      <c r="F50" s="602"/>
      <c r="G50" s="570"/>
      <c r="H50" s="570"/>
      <c r="I50" s="570"/>
      <c r="J50" s="572"/>
      <c r="K50" s="570"/>
      <c r="L50" s="603" t="s">
        <v>258</v>
      </c>
      <c r="M50" s="286"/>
      <c r="N50" s="286"/>
      <c r="P50" s="596"/>
    </row>
    <row r="51" spans="2:16">
      <c r="B51" s="497"/>
      <c r="C51" s="572"/>
      <c r="D51" s="604" t="s">
        <v>239</v>
      </c>
      <c r="E51" s="605" t="s">
        <v>252</v>
      </c>
      <c r="F51" s="570"/>
      <c r="G51" s="604" t="s">
        <v>226</v>
      </c>
      <c r="H51" s="606"/>
      <c r="I51" s="2267" t="s">
        <v>259</v>
      </c>
      <c r="J51" s="2268"/>
      <c r="K51" s="606"/>
      <c r="L51" s="604" t="s">
        <v>255</v>
      </c>
      <c r="M51" s="286"/>
      <c r="N51" s="286"/>
    </row>
    <row r="52" spans="2:16">
      <c r="B52" s="571" t="str">
        <f>B10</f>
        <v>Line</v>
      </c>
      <c r="C52" s="572"/>
      <c r="D52" s="495"/>
      <c r="E52" s="570"/>
      <c r="F52" s="570"/>
      <c r="G52" s="607" t="s">
        <v>142</v>
      </c>
      <c r="H52" s="570"/>
      <c r="I52" s="570"/>
      <c r="J52" s="570"/>
      <c r="K52" s="570"/>
      <c r="L52" s="570"/>
      <c r="M52" s="286"/>
      <c r="N52" s="286"/>
    </row>
    <row r="53" spans="2:16" ht="16" thickBot="1">
      <c r="B53" s="577" t="str">
        <f>B11</f>
        <v>No.</v>
      </c>
      <c r="C53" s="572"/>
      <c r="D53" s="495" t="s">
        <v>227</v>
      </c>
      <c r="E53" s="583"/>
      <c r="F53" s="583"/>
      <c r="G53" s="570"/>
      <c r="H53" s="570"/>
      <c r="I53" s="583"/>
      <c r="J53" s="570"/>
      <c r="K53" s="570"/>
      <c r="L53" s="570"/>
      <c r="M53" s="286"/>
      <c r="N53" s="286"/>
    </row>
    <row r="54" spans="2:16">
      <c r="B54" s="571">
        <f>+B35+1</f>
        <v>14</v>
      </c>
      <c r="C54" s="572"/>
      <c r="D54" s="495" t="s">
        <v>266</v>
      </c>
      <c r="E54" s="570" t="str">
        <f>"(Worksheet A-1 ln "&amp;'SWEPCO WS A-1 - Plant'!A24&amp;".B)"</f>
        <v>(Worksheet A-1 ln 14.B)</v>
      </c>
      <c r="F54" s="608"/>
      <c r="G54" s="2102">
        <f>+'SWEPCO WS A-1 - Plant'!C24</f>
        <v>5028367771.6153851</v>
      </c>
      <c r="H54" s="582"/>
      <c r="I54" s="583" t="s">
        <v>267</v>
      </c>
      <c r="J54" s="584">
        <v>0</v>
      </c>
      <c r="K54" s="570"/>
      <c r="L54" s="2102">
        <f>+J54*G54</f>
        <v>0</v>
      </c>
      <c r="M54" s="286"/>
      <c r="N54" s="286"/>
    </row>
    <row r="55" spans="2:16">
      <c r="B55" s="571">
        <f t="shared" ref="B55:B63" si="0">+B54+1</f>
        <v>15</v>
      </c>
      <c r="C55" s="572"/>
      <c r="D55" s="495" t="s">
        <v>19</v>
      </c>
      <c r="E55" s="570" t="str">
        <f>"(Worksheet A-1 ln "&amp;'SWEPCO WS A-1 - Plant'!A24&amp;".C)"</f>
        <v>(Worksheet A-1 ln 14.C)</v>
      </c>
      <c r="F55" s="608"/>
      <c r="G55" s="2102">
        <f>-'SWEPCO WS A-1 - Plant'!D24</f>
        <v>-100287074.61538461</v>
      </c>
      <c r="H55" s="582"/>
      <c r="I55" s="583" t="s">
        <v>267</v>
      </c>
      <c r="J55" s="584">
        <v>0</v>
      </c>
      <c r="K55" s="570"/>
      <c r="L55" s="2102">
        <f>+J55*G55</f>
        <v>0</v>
      </c>
      <c r="M55" s="286"/>
      <c r="N55" s="286"/>
    </row>
    <row r="56" spans="2:16">
      <c r="B56" s="571">
        <f t="shared" si="0"/>
        <v>16</v>
      </c>
      <c r="C56" s="609"/>
      <c r="D56" s="610" t="s">
        <v>268</v>
      </c>
      <c r="E56" s="570" t="str">
        <f>"(Worksheet A-1 ln "&amp;'SWEPCO WS A-1 - Plant'!A24&amp;".D &amp; Ln "&amp;B209</f>
        <v>(Worksheet A-1 ln 14.D &amp; Ln 121</v>
      </c>
      <c r="F56" s="611"/>
      <c r="G56" s="2102">
        <f>+'SWEPCO WS A-1 - Plant'!E24</f>
        <v>2739528174.0769229</v>
      </c>
      <c r="H56" s="582"/>
      <c r="I56" s="612" t="s">
        <v>269</v>
      </c>
      <c r="J56" s="570"/>
      <c r="K56" s="613"/>
      <c r="L56" s="2118">
        <f>+L209</f>
        <v>2623899254.3092308</v>
      </c>
      <c r="M56" s="286"/>
      <c r="N56" s="286"/>
    </row>
    <row r="57" spans="2:16">
      <c r="B57" s="571">
        <f t="shared" si="0"/>
        <v>17</v>
      </c>
      <c r="C57" s="609"/>
      <c r="D57" s="495" t="s">
        <v>20</v>
      </c>
      <c r="E57" s="570" t="str">
        <f>"(Worksheet A-1 ln "&amp;'SWEPCO WS A-1 - Plant'!A24&amp;".E)"</f>
        <v>(Worksheet A-1 ln 14.E)</v>
      </c>
      <c r="F57" s="611"/>
      <c r="G57" s="2102">
        <f>-'SWEPCO WS A-1 - Plant'!F24</f>
        <v>0</v>
      </c>
      <c r="H57" s="582"/>
      <c r="I57" s="612" t="s">
        <v>260</v>
      </c>
      <c r="J57" s="584">
        <f>+$L$211</f>
        <v>0.95779239620097978</v>
      </c>
      <c r="K57" s="613"/>
      <c r="L57" s="2118">
        <f>+G57*J57</f>
        <v>0</v>
      </c>
      <c r="M57" s="286"/>
      <c r="N57" s="286"/>
    </row>
    <row r="58" spans="2:16">
      <c r="B58" s="571">
        <f>+B57+1</f>
        <v>18</v>
      </c>
      <c r="C58" s="609"/>
      <c r="D58" s="495" t="s">
        <v>270</v>
      </c>
      <c r="E58" s="570" t="str">
        <f>"(Worksheet A-1 ln "&amp;'SWEPCO WS A-1 - Plant'!A24&amp;".F)"</f>
        <v>(Worksheet A-1 ln 14.F)</v>
      </c>
      <c r="F58" s="608"/>
      <c r="G58" s="2102">
        <f>+'SWEPCO WS A-1 - Plant'!G24</f>
        <v>2938870285</v>
      </c>
      <c r="H58" s="582"/>
      <c r="I58" s="583" t="s">
        <v>267</v>
      </c>
      <c r="J58" s="584">
        <v>0</v>
      </c>
      <c r="K58" s="570"/>
      <c r="L58" s="2102">
        <f>+J58*G58</f>
        <v>0</v>
      </c>
      <c r="M58" s="286"/>
      <c r="N58" s="286"/>
    </row>
    <row r="59" spans="2:16">
      <c r="B59" s="571">
        <f t="shared" si="0"/>
        <v>19</v>
      </c>
      <c r="C59" s="609"/>
      <c r="D59" s="495" t="s">
        <v>17</v>
      </c>
      <c r="E59" s="570" t="str">
        <f>"(Worksheet A-1 ln "&amp;'SWEPCO WS A-1 - Plant'!A24&amp;".G)"</f>
        <v>(Worksheet A-1 ln 14.G)</v>
      </c>
      <c r="F59" s="608"/>
      <c r="G59" s="2102">
        <f>-'SWEPCO WS A-1 - Plant'!H24</f>
        <v>0</v>
      </c>
      <c r="H59" s="582"/>
      <c r="I59" s="583" t="s">
        <v>267</v>
      </c>
      <c r="J59" s="584">
        <v>0</v>
      </c>
      <c r="K59" s="570"/>
      <c r="L59" s="2102">
        <f>+G59*J59</f>
        <v>0</v>
      </c>
      <c r="M59" s="286"/>
      <c r="N59" s="286"/>
    </row>
    <row r="60" spans="2:16">
      <c r="B60" s="571">
        <f t="shared" si="0"/>
        <v>20</v>
      </c>
      <c r="C60" s="609"/>
      <c r="D60" s="495" t="s">
        <v>271</v>
      </c>
      <c r="E60" s="570" t="str">
        <f>"(Worksheet A-1 ln "&amp;'SWEPCO WS A-1 - Plant'!A44&amp;".B)"</f>
        <v>(Worksheet A-1 ln 28.B)</v>
      </c>
      <c r="F60" s="608"/>
      <c r="G60" s="582">
        <f>+'SWEPCO WS A-1 - Plant'!C44</f>
        <v>390245863.76923078</v>
      </c>
      <c r="H60" s="582"/>
      <c r="I60" s="583" t="s">
        <v>272</v>
      </c>
      <c r="J60" s="584">
        <f>+$L$221</f>
        <v>0.11769464301813617</v>
      </c>
      <c r="K60" s="570"/>
      <c r="L60" s="582">
        <f>+J60*G60</f>
        <v>45929847.625623822</v>
      </c>
      <c r="M60" s="286"/>
      <c r="N60" s="286"/>
    </row>
    <row r="61" spans="2:16">
      <c r="B61" s="571">
        <f t="shared" si="0"/>
        <v>21</v>
      </c>
      <c r="C61" s="609"/>
      <c r="D61" s="495" t="s">
        <v>18</v>
      </c>
      <c r="E61" s="570" t="str">
        <f>"(Worksheet A-1 ln "&amp;'SWEPCO WS A-1 - Plant'!A44&amp;".C)"</f>
        <v>(Worksheet A-1 ln 28.C)</v>
      </c>
      <c r="F61" s="608"/>
      <c r="G61" s="582">
        <f>-'SWEPCO WS A-1 - Plant'!D44</f>
        <v>-1265939</v>
      </c>
      <c r="H61" s="582"/>
      <c r="I61" s="583" t="s">
        <v>272</v>
      </c>
      <c r="J61" s="584">
        <f>+$L$221</f>
        <v>0.11769464301813617</v>
      </c>
      <c r="K61" s="570"/>
      <c r="L61" s="582">
        <f>+G61*J61</f>
        <v>-148994.2386877363</v>
      </c>
      <c r="M61" s="286"/>
      <c r="N61" s="286"/>
    </row>
    <row r="62" spans="2:16" ht="16" thickBot="1">
      <c r="B62" s="571">
        <f t="shared" si="0"/>
        <v>22</v>
      </c>
      <c r="C62" s="609"/>
      <c r="D62" s="495" t="s">
        <v>273</v>
      </c>
      <c r="E62" s="570" t="str">
        <f>"(Worksheet A-1 ln "&amp;'SWEPCO WS A-1 - Plant'!A44&amp;".D)"</f>
        <v>(Worksheet A-1 ln 28.D)</v>
      </c>
      <c r="F62" s="608"/>
      <c r="G62" s="615">
        <f>+'SWEPCO WS A-1 - Plant'!E44</f>
        <v>187261192.92307693</v>
      </c>
      <c r="H62" s="582"/>
      <c r="I62" s="583" t="s">
        <v>272</v>
      </c>
      <c r="J62" s="584">
        <f>+$L$221</f>
        <v>0.11769464301813617</v>
      </c>
      <c r="K62" s="570"/>
      <c r="L62" s="615">
        <f>+J62*G62</f>
        <v>22039639.252231866</v>
      </c>
      <c r="M62" s="286"/>
      <c r="N62" s="286"/>
      <c r="O62" s="495"/>
    </row>
    <row r="63" spans="2:16">
      <c r="B63" s="600">
        <f t="shared" si="0"/>
        <v>23</v>
      </c>
      <c r="C63" s="609"/>
      <c r="D63" s="495" t="s">
        <v>225</v>
      </c>
      <c r="E63" s="579" t="str">
        <f>"(sum lns "&amp;B54&amp;" to "&amp;B62&amp;")"</f>
        <v>(sum lns 14 to 22)</v>
      </c>
      <c r="F63" s="286"/>
      <c r="G63" s="582">
        <f>SUM(G54:G62)</f>
        <v>11182720273.76923</v>
      </c>
      <c r="H63" s="582"/>
      <c r="I63" s="598" t="s">
        <v>632</v>
      </c>
      <c r="J63" s="616">
        <f>IF(G63=0,0,L63/G63)</f>
        <v>0.24070348547144088</v>
      </c>
      <c r="K63" s="570"/>
      <c r="L63" s="582">
        <f>SUM(L54:L62)</f>
        <v>2691719746.9483991</v>
      </c>
      <c r="M63" s="286"/>
      <c r="N63" s="286"/>
      <c r="O63" s="495"/>
    </row>
    <row r="64" spans="2:16">
      <c r="B64" s="600"/>
      <c r="C64" s="572"/>
      <c r="D64" s="495"/>
      <c r="E64" s="354"/>
      <c r="F64" s="286"/>
      <c r="G64" s="617"/>
      <c r="H64" s="582"/>
      <c r="I64" s="618" t="s">
        <v>354</v>
      </c>
      <c r="J64" s="1278">
        <f>+G56/(+G56+G58)</f>
        <v>0.48244732979204469</v>
      </c>
      <c r="K64" s="570"/>
      <c r="L64" s="582"/>
      <c r="M64" s="286"/>
      <c r="N64" s="286"/>
      <c r="O64" s="495"/>
    </row>
    <row r="65" spans="2:15">
      <c r="B65" s="571">
        <f>+B63+1</f>
        <v>24</v>
      </c>
      <c r="C65" s="572"/>
      <c r="D65" s="495" t="s">
        <v>207</v>
      </c>
      <c r="E65" s="583"/>
      <c r="F65" s="583"/>
      <c r="G65" s="617"/>
      <c r="H65" s="620"/>
      <c r="I65" s="583"/>
      <c r="J65" s="621"/>
      <c r="K65" s="570"/>
      <c r="L65" s="582"/>
      <c r="M65" s="286"/>
      <c r="N65" s="286"/>
      <c r="O65" s="570"/>
    </row>
    <row r="66" spans="2:15">
      <c r="B66" s="571">
        <f t="shared" ref="B66:B75" si="1">+B65+1</f>
        <v>25</v>
      </c>
      <c r="C66" s="572"/>
      <c r="D66" s="495" t="str">
        <f>+D54</f>
        <v xml:space="preserve">  Production</v>
      </c>
      <c r="E66" s="570" t="str">
        <f>"(Worksheet A-2 ln "&amp;'SWEPCO WS A-1 - Plant'!A24&amp;".B)"</f>
        <v>(Worksheet A-2 ln 14.B)</v>
      </c>
      <c r="F66" s="608"/>
      <c r="G66" s="2102">
        <f>+'SWEPCO WS A-2 Accumulated Depn'!C24</f>
        <v>1358159621.3076923</v>
      </c>
      <c r="H66" s="582"/>
      <c r="I66" s="583" t="s">
        <v>267</v>
      </c>
      <c r="J66" s="584">
        <v>0</v>
      </c>
      <c r="K66" s="570"/>
      <c r="L66" s="2102">
        <f>+J66*G66</f>
        <v>0</v>
      </c>
      <c r="M66" s="286"/>
      <c r="N66" s="286"/>
      <c r="O66" s="570"/>
    </row>
    <row r="67" spans="2:15">
      <c r="B67" s="571">
        <f t="shared" si="1"/>
        <v>26</v>
      </c>
      <c r="C67" s="572"/>
      <c r="D67" s="495" t="s">
        <v>19</v>
      </c>
      <c r="E67" s="570" t="str">
        <f>"(Worksheet A-2 ln "&amp;'SWEPCO WS A-1 - Plant'!A24&amp;".C)"</f>
        <v>(Worksheet A-2 ln 14.C)</v>
      </c>
      <c r="F67" s="608"/>
      <c r="G67" s="2102">
        <f>-'SWEPCO WS A-2 Accumulated Depn'!D24</f>
        <v>12109536.687692311</v>
      </c>
      <c r="H67" s="582"/>
      <c r="I67" s="583" t="s">
        <v>267</v>
      </c>
      <c r="J67" s="584">
        <v>0</v>
      </c>
      <c r="K67" s="570"/>
      <c r="L67" s="2102">
        <f>+J67*G67</f>
        <v>0</v>
      </c>
      <c r="M67" s="286"/>
      <c r="N67" s="286"/>
      <c r="O67" s="570"/>
    </row>
    <row r="68" spans="2:15">
      <c r="B68" s="571">
        <f t="shared" si="1"/>
        <v>27</v>
      </c>
      <c r="C68" s="609"/>
      <c r="D68" s="610" t="str">
        <f>D56</f>
        <v xml:space="preserve">  Transmission</v>
      </c>
      <c r="E68" s="570" t="str">
        <f>"(Worksheet A-2 ln "&amp;'SWEPCO WS A-2 Accumulated Depn'!A24&amp;".D less "&amp;'SWEPCO WS A-2 Accumulated Depn'!A46&amp;".F)"</f>
        <v>(Worksheet A-2 ln 14.D less 29.F)</v>
      </c>
      <c r="F68" s="622"/>
      <c r="G68" s="2102">
        <f>+'SWEPCO WS A-2 Accumulated Depn'!E24</f>
        <v>668884232.69230771</v>
      </c>
      <c r="H68" s="582"/>
      <c r="I68" s="623" t="s">
        <v>209</v>
      </c>
      <c r="J68" s="624">
        <f>IF(G68=0,0,L68/G68)</f>
        <v>0.94523186310488416</v>
      </c>
      <c r="K68" s="613"/>
      <c r="L68" s="2102">
        <f>+'SWEPCO WS A-2 Accumulated Depn'!G46</f>
        <v>632250689.46923089</v>
      </c>
      <c r="M68" s="286"/>
      <c r="N68" s="286"/>
      <c r="O68" s="570"/>
    </row>
    <row r="69" spans="2:15">
      <c r="B69" s="571">
        <f t="shared" si="1"/>
        <v>28</v>
      </c>
      <c r="C69" s="609"/>
      <c r="D69" s="495" t="s">
        <v>20</v>
      </c>
      <c r="E69" s="570" t="str">
        <f>"(Worksheet A-2 ln "&amp;'SWEPCO WS A-2 Accumulated Depn'!A24&amp;".E)"</f>
        <v>(Worksheet A-2 ln 14.E)</v>
      </c>
      <c r="F69" s="611"/>
      <c r="G69" s="2102">
        <f>-'SWEPCO WS A-2 Accumulated Depn'!F24</f>
        <v>0</v>
      </c>
      <c r="H69" s="582"/>
      <c r="I69" s="623" t="s">
        <v>209</v>
      </c>
      <c r="J69" s="584">
        <f>+J68</f>
        <v>0.94523186310488416</v>
      </c>
      <c r="K69" s="613"/>
      <c r="L69" s="2102">
        <f>+J69*G69</f>
        <v>0</v>
      </c>
      <c r="M69" s="286"/>
      <c r="N69" s="286"/>
      <c r="O69" s="570"/>
    </row>
    <row r="70" spans="2:15">
      <c r="B70" s="571">
        <f>+B69+1</f>
        <v>29</v>
      </c>
      <c r="C70" s="609"/>
      <c r="D70" s="495" t="str">
        <f>+D58</f>
        <v xml:space="preserve">  Distribution</v>
      </c>
      <c r="E70" s="570" t="str">
        <f>"(Worksheet A-2 ln "&amp;'SWEPCO WS A-2 Accumulated Depn'!A24&amp;".F)"</f>
        <v>(Worksheet A-2 ln 14.F)</v>
      </c>
      <c r="F70" s="608"/>
      <c r="G70" s="2102">
        <f>+'SWEPCO WS A-2 Accumulated Depn'!G24</f>
        <v>880012763.38461542</v>
      </c>
      <c r="H70" s="582"/>
      <c r="I70" s="583" t="s">
        <v>267</v>
      </c>
      <c r="J70" s="584">
        <v>0</v>
      </c>
      <c r="K70" s="570"/>
      <c r="L70" s="2102">
        <f t="shared" ref="L70:L74" si="2">+J70*G70</f>
        <v>0</v>
      </c>
      <c r="M70" s="286"/>
      <c r="N70" s="286"/>
      <c r="O70" s="570"/>
    </row>
    <row r="71" spans="2:15">
      <c r="B71" s="571">
        <f t="shared" si="1"/>
        <v>30</v>
      </c>
      <c r="C71" s="609"/>
      <c r="D71" s="495" t="s">
        <v>17</v>
      </c>
      <c r="E71" s="570" t="str">
        <f>"(Worksheet A-2 ln "&amp;'SWEPCO WS A-2 Accumulated Depn'!A24&amp;".G)"</f>
        <v>(Worksheet A-2 ln 14.G)</v>
      </c>
      <c r="F71" s="608"/>
      <c r="G71" s="2102">
        <f>-'SWEPCO WS A-2 Accumulated Depn'!H24</f>
        <v>0</v>
      </c>
      <c r="H71" s="582"/>
      <c r="I71" s="583" t="s">
        <v>267</v>
      </c>
      <c r="J71" s="584">
        <v>0</v>
      </c>
      <c r="K71" s="570"/>
      <c r="L71" s="2102">
        <f t="shared" si="2"/>
        <v>0</v>
      </c>
      <c r="M71" s="286"/>
      <c r="N71" s="286"/>
      <c r="O71" s="570"/>
    </row>
    <row r="72" spans="2:15">
      <c r="B72" s="571">
        <f t="shared" si="1"/>
        <v>31</v>
      </c>
      <c r="C72" s="609"/>
      <c r="D72" s="495" t="str">
        <f>+D60</f>
        <v xml:space="preserve">  General Plant   </v>
      </c>
      <c r="E72" s="570" t="str">
        <f>"(Worksheet A-2 ln "&amp;'SWEPCO WS A-2 Accumulated Depn'!A44&amp;".B)"</f>
        <v>(Worksheet A-2 ln 28.B)</v>
      </c>
      <c r="F72" s="608"/>
      <c r="G72" s="582">
        <f>+'SWEPCO WS A-2 Accumulated Depn'!C44</f>
        <v>121194444.38461539</v>
      </c>
      <c r="H72" s="582"/>
      <c r="I72" s="583" t="s">
        <v>272</v>
      </c>
      <c r="J72" s="584">
        <f>+$L$221</f>
        <v>0.11769464301813617</v>
      </c>
      <c r="K72" s="570"/>
      <c r="L72" s="582">
        <f t="shared" si="2"/>
        <v>14263936.867628668</v>
      </c>
      <c r="M72" s="286"/>
      <c r="N72" s="286"/>
      <c r="O72" s="570"/>
    </row>
    <row r="73" spans="2:15">
      <c r="B73" s="571">
        <f t="shared" si="1"/>
        <v>32</v>
      </c>
      <c r="C73" s="609"/>
      <c r="D73" s="495" t="s">
        <v>18</v>
      </c>
      <c r="E73" s="570" t="str">
        <f>"(Worksheet A-2 ln "&amp;'SWEPCO WS A-2 Accumulated Depn'!A44&amp;".C)"</f>
        <v>(Worksheet A-2 ln 28.C)</v>
      </c>
      <c r="F73" s="608"/>
      <c r="G73" s="582">
        <f>-'SWEPCO WS A-2 Accumulated Depn'!D44</f>
        <v>-1064617.3846153845</v>
      </c>
      <c r="H73" s="582"/>
      <c r="I73" s="583" t="s">
        <v>272</v>
      </c>
      <c r="J73" s="584">
        <f>+$L$221</f>
        <v>0.11769464301813617</v>
      </c>
      <c r="K73" s="570"/>
      <c r="L73" s="582">
        <f t="shared" si="2"/>
        <v>-125299.76303320946</v>
      </c>
      <c r="M73" s="286"/>
      <c r="N73" s="286"/>
      <c r="O73" s="570"/>
    </row>
    <row r="74" spans="2:15" ht="16" thickBot="1">
      <c r="B74" s="571">
        <f t="shared" si="1"/>
        <v>33</v>
      </c>
      <c r="C74" s="609"/>
      <c r="D74" s="495" t="str">
        <f>+D62</f>
        <v xml:space="preserve">  Intangible Plant</v>
      </c>
      <c r="E74" s="570" t="str">
        <f>"(Worksheet A-2 ln "&amp;'SWEPCO WS A-2 Accumulated Depn'!A44&amp;".D)"</f>
        <v>(Worksheet A-2 ln 28.D)</v>
      </c>
      <c r="F74" s="608"/>
      <c r="G74" s="615">
        <f>+'SWEPCO WS A-2 Accumulated Depn'!E44</f>
        <v>98677637.615384609</v>
      </c>
      <c r="H74" s="582"/>
      <c r="I74" s="583" t="s">
        <v>272</v>
      </c>
      <c r="J74" s="584">
        <f>+$L$221</f>
        <v>0.11769464301813617</v>
      </c>
      <c r="K74" s="570"/>
      <c r="L74" s="615">
        <f t="shared" si="2"/>
        <v>11613829.333015697</v>
      </c>
      <c r="M74" s="286"/>
      <c r="N74" s="286"/>
      <c r="O74" s="570"/>
    </row>
    <row r="75" spans="2:15">
      <c r="B75" s="571">
        <f t="shared" si="1"/>
        <v>34</v>
      </c>
      <c r="C75" s="609"/>
      <c r="D75" s="495" t="s">
        <v>224</v>
      </c>
      <c r="E75" s="625" t="str">
        <f>"(sum lns "&amp;B66&amp;" to "&amp;B74&amp;")"</f>
        <v>(sum lns 25 to 33)</v>
      </c>
      <c r="F75" s="626"/>
      <c r="G75" s="582">
        <f>SUM(G66:G74)</f>
        <v>3137973618.6876922</v>
      </c>
      <c r="H75" s="582"/>
      <c r="I75" s="583"/>
      <c r="J75" s="570"/>
      <c r="K75" s="582"/>
      <c r="L75" s="582">
        <f>SUM(L66:L74)</f>
        <v>658003155.90684211</v>
      </c>
      <c r="M75" s="286"/>
      <c r="N75" s="286"/>
      <c r="O75" s="570"/>
    </row>
    <row r="76" spans="2:15">
      <c r="B76" s="571"/>
      <c r="C76" s="572"/>
      <c r="E76" s="627"/>
      <c r="F76" s="626"/>
      <c r="G76" s="582"/>
      <c r="H76" s="582"/>
      <c r="I76" s="583"/>
      <c r="J76" s="628"/>
      <c r="K76" s="570"/>
      <c r="L76" s="582"/>
      <c r="M76" s="286"/>
      <c r="N76" s="286"/>
      <c r="O76" s="570"/>
    </row>
    <row r="77" spans="2:15">
      <c r="B77" s="571">
        <f>+B75+1</f>
        <v>35</v>
      </c>
      <c r="C77" s="572"/>
      <c r="D77" s="495" t="s">
        <v>228</v>
      </c>
      <c r="E77" s="583"/>
      <c r="F77" s="583"/>
      <c r="G77" s="582"/>
      <c r="H77" s="582"/>
      <c r="I77" s="583"/>
      <c r="J77" s="570"/>
      <c r="K77" s="570"/>
      <c r="L77" s="582"/>
      <c r="M77" s="286"/>
      <c r="N77" s="286"/>
      <c r="O77" s="570"/>
    </row>
    <row r="78" spans="2:15">
      <c r="B78" s="600">
        <f t="shared" ref="B78:B83" si="3">+B77+1</f>
        <v>36</v>
      </c>
      <c r="C78" s="609"/>
      <c r="D78" s="495" t="str">
        <f>+D66</f>
        <v xml:space="preserve">  Production</v>
      </c>
      <c r="E78" s="570" t="str">
        <f>" (ln "&amp;B54&amp;" + ln "&amp;B55&amp;" - ln "&amp;B66&amp;" - ln "&amp;B67&amp;")"</f>
        <v xml:space="preserve"> (ln 14 + ln 15 - ln 25 - ln 26)</v>
      </c>
      <c r="F78" s="570"/>
      <c r="G78" s="582">
        <f>G54+G55-G66-G67</f>
        <v>3557811539.0046153</v>
      </c>
      <c r="H78" s="582"/>
      <c r="I78" s="583"/>
      <c r="J78" s="629"/>
      <c r="K78" s="570"/>
      <c r="L78" s="2102">
        <f>L54+L55-L66-L67</f>
        <v>0</v>
      </c>
      <c r="M78" s="286"/>
      <c r="N78" s="286"/>
      <c r="O78" s="570"/>
    </row>
    <row r="79" spans="2:15">
      <c r="B79" s="600">
        <f t="shared" si="3"/>
        <v>37</v>
      </c>
      <c r="C79" s="609"/>
      <c r="D79" s="495" t="str">
        <f>+D68</f>
        <v xml:space="preserve">  Transmission</v>
      </c>
      <c r="E79" s="570" t="str">
        <f>" (ln "&amp;B56&amp;" + ln "&amp;B57&amp;" - ln "&amp;B68&amp;" - ln "&amp;B69&amp;")"</f>
        <v xml:space="preserve"> (ln 16 + ln 17 - ln 27 - ln 28)</v>
      </c>
      <c r="F79" s="608"/>
      <c r="G79" s="582">
        <f>+G56+G57-G68-G69</f>
        <v>2070643941.3846152</v>
      </c>
      <c r="H79" s="582"/>
      <c r="I79" s="583"/>
      <c r="J79" s="624"/>
      <c r="K79" s="570"/>
      <c r="L79" s="2102">
        <f>+L56+L57-L68-L69</f>
        <v>1991648564.8399999</v>
      </c>
      <c r="M79" s="286"/>
      <c r="N79" s="286"/>
      <c r="O79" s="570"/>
    </row>
    <row r="80" spans="2:15">
      <c r="B80" s="600">
        <f>+B79+1</f>
        <v>38</v>
      </c>
      <c r="C80" s="609"/>
      <c r="D80" s="495" t="str">
        <f>+D70</f>
        <v xml:space="preserve">  Distribution</v>
      </c>
      <c r="E80" s="570" t="str">
        <f>" (ln "&amp;B58&amp;" + ln "&amp;B59&amp;" - ln "&amp;B70&amp;" - ln "&amp;B71&amp;")"</f>
        <v xml:space="preserve"> (ln 18 + ln 19 - ln 29 - ln 30)</v>
      </c>
      <c r="F80" s="570"/>
      <c r="G80" s="582">
        <f>+G58+G59-G70-G71</f>
        <v>2058857521.6153846</v>
      </c>
      <c r="H80" s="582"/>
      <c r="I80" s="583"/>
      <c r="J80" s="628"/>
      <c r="K80" s="570"/>
      <c r="L80" s="2102">
        <f>+L58+L59-L70-L71</f>
        <v>0</v>
      </c>
      <c r="M80" s="286"/>
      <c r="N80" s="286"/>
      <c r="O80" s="570"/>
    </row>
    <row r="81" spans="2:15">
      <c r="B81" s="600">
        <f t="shared" si="3"/>
        <v>39</v>
      </c>
      <c r="C81" s="609"/>
      <c r="D81" s="495" t="str">
        <f>+D72</f>
        <v xml:space="preserve">  General Plant   </v>
      </c>
      <c r="E81" s="570" t="str">
        <f>" (ln "&amp;B60&amp;" + ln "&amp;B61&amp;" - ln "&amp;B72&amp;" - ln "&amp;B73&amp;")"</f>
        <v xml:space="preserve"> (ln 20 + ln 21 - ln 31 - ln 32)</v>
      </c>
      <c r="F81" s="570"/>
      <c r="G81" s="582">
        <f>+G60+G61-G72-G73</f>
        <v>268850097.76923078</v>
      </c>
      <c r="H81" s="582"/>
      <c r="I81" s="583"/>
      <c r="J81" s="628"/>
      <c r="K81" s="570"/>
      <c r="L81" s="582">
        <f>+L60+L61-L72-L73</f>
        <v>31642216.282340627</v>
      </c>
      <c r="M81" s="286"/>
      <c r="N81" s="286"/>
      <c r="O81" s="570"/>
    </row>
    <row r="82" spans="2:15" ht="16" thickBot="1">
      <c r="B82" s="600">
        <f t="shared" si="3"/>
        <v>40</v>
      </c>
      <c r="C82" s="609"/>
      <c r="D82" s="495" t="str">
        <f>+D74</f>
        <v xml:space="preserve">  Intangible Plant</v>
      </c>
      <c r="E82" s="570" t="str">
        <f>" (ln "&amp;B62&amp;" - ln "&amp;B74&amp;")"</f>
        <v xml:space="preserve"> (ln 22 - ln 33)</v>
      </c>
      <c r="F82" s="570"/>
      <c r="G82" s="615">
        <f>+G62-G74</f>
        <v>88583555.307692319</v>
      </c>
      <c r="H82" s="582"/>
      <c r="I82" s="583"/>
      <c r="J82" s="628"/>
      <c r="K82" s="570"/>
      <c r="L82" s="615">
        <f>+L62-L74</f>
        <v>10425809.919216169</v>
      </c>
      <c r="M82" s="286"/>
      <c r="N82" s="286"/>
      <c r="O82" s="570"/>
    </row>
    <row r="83" spans="2:15">
      <c r="B83" s="600">
        <f t="shared" si="3"/>
        <v>41</v>
      </c>
      <c r="C83" s="609"/>
      <c r="D83" s="495" t="s">
        <v>223</v>
      </c>
      <c r="E83" s="495" t="str">
        <f>"(sum lns "&amp;B78&amp;" to "&amp;B82&amp;")"</f>
        <v>(sum lns 36 to 40)</v>
      </c>
      <c r="F83" s="570"/>
      <c r="G83" s="582">
        <f>SUM(G78:G82)</f>
        <v>8044746655.0815392</v>
      </c>
      <c r="H83" s="582"/>
      <c r="I83" s="601" t="s">
        <v>633</v>
      </c>
      <c r="J83" s="2099">
        <f>IF(G83=0,0,L83/G83)</f>
        <v>0.25280057635586828</v>
      </c>
      <c r="K83" s="570"/>
      <c r="L83" s="582">
        <f>SUM(L79:L82)</f>
        <v>2033716591.0415566</v>
      </c>
      <c r="M83" s="286"/>
      <c r="N83" s="286"/>
      <c r="O83" s="570"/>
    </row>
    <row r="84" spans="2:15">
      <c r="B84" s="571"/>
      <c r="C84" s="572"/>
      <c r="D84" s="495"/>
      <c r="E84" s="570"/>
      <c r="F84" s="570"/>
      <c r="G84" s="582"/>
      <c r="H84" s="582"/>
      <c r="J84" s="630"/>
      <c r="K84" s="570"/>
      <c r="L84" s="582"/>
      <c r="M84" s="286"/>
      <c r="N84" s="286"/>
      <c r="O84" s="570"/>
    </row>
    <row r="85" spans="2:15">
      <c r="B85" s="571"/>
      <c r="C85" s="572"/>
      <c r="G85" s="286"/>
      <c r="H85" s="286"/>
      <c r="I85" s="286"/>
      <c r="J85" s="286"/>
      <c r="K85" s="286"/>
      <c r="L85" s="286"/>
      <c r="M85" s="286"/>
      <c r="N85" s="286"/>
      <c r="O85" s="570"/>
    </row>
    <row r="86" spans="2:15">
      <c r="B86" s="571">
        <f>+B83+1</f>
        <v>42</v>
      </c>
      <c r="C86" s="572"/>
      <c r="D86" s="495" t="s">
        <v>398</v>
      </c>
      <c r="E86" s="570" t="s">
        <v>176</v>
      </c>
      <c r="F86" s="583"/>
      <c r="G86" s="286"/>
      <c r="H86" s="286"/>
      <c r="I86" s="286"/>
      <c r="J86" s="286"/>
      <c r="K86" s="286"/>
      <c r="L86" s="286"/>
      <c r="M86" s="286"/>
      <c r="N86" s="286"/>
      <c r="O86" s="570"/>
    </row>
    <row r="87" spans="2:15">
      <c r="B87" s="600">
        <f t="shared" ref="B87:B92" si="4">+B86+1</f>
        <v>43</v>
      </c>
      <c r="C87" s="609"/>
      <c r="D87" s="495" t="s">
        <v>330</v>
      </c>
      <c r="E87" s="570" t="s">
        <v>35</v>
      </c>
      <c r="F87" s="570"/>
      <c r="G87" s="2102">
        <v>0</v>
      </c>
      <c r="H87"/>
      <c r="I87" s="583" t="s">
        <v>267</v>
      </c>
      <c r="J87" s="584"/>
      <c r="K87" s="570"/>
      <c r="L87" s="2102">
        <v>0</v>
      </c>
      <c r="M87" s="286"/>
      <c r="N87" s="286"/>
      <c r="O87" s="570"/>
    </row>
    <row r="88" spans="2:15">
      <c r="B88" s="600">
        <f t="shared" si="4"/>
        <v>44</v>
      </c>
      <c r="C88" s="609"/>
      <c r="D88" s="495" t="s">
        <v>331</v>
      </c>
      <c r="E88" s="570" t="str">
        <f>"(Worksheet C, ln "&amp;'SWEPCO WS C ADIT &amp; ADITC'!A23&amp;" C &amp; ln "&amp;'SWEPCO WS C ADIT &amp; ADITC'!A27&amp;" J)"</f>
        <v>(Worksheet C, ln 4 C &amp; ln 8 J)</v>
      </c>
      <c r="F88" s="608"/>
      <c r="G88" s="2102">
        <f>'SWEPCO WS C ADIT &amp; ADITC'!D23</f>
        <v>-1432880222.2250001</v>
      </c>
      <c r="H88" s="582"/>
      <c r="I88" s="583" t="s">
        <v>269</v>
      </c>
      <c r="J88" s="584"/>
      <c r="K88" s="570"/>
      <c r="L88" s="2102">
        <f>'SWEPCO WS C ADIT &amp; ADITC'!J27</f>
        <v>-299428027.82583296</v>
      </c>
      <c r="M88" s="286"/>
      <c r="N88" s="286"/>
      <c r="O88" s="570"/>
    </row>
    <row r="89" spans="2:15">
      <c r="B89" s="600">
        <f t="shared" si="4"/>
        <v>45</v>
      </c>
      <c r="C89" s="609"/>
      <c r="D89" s="495" t="s">
        <v>332</v>
      </c>
      <c r="E89" s="570" t="str">
        <f>"(Worksheet C, ln "&amp;'SWEPCO WS C ADIT &amp; ADITC'!A36&amp;" C &amp; ln "&amp;'SWEPCO WS C ADIT &amp; ADITC'!A38&amp;" J)"</f>
        <v>(Worksheet C, ln 12 C &amp; ln 14 J)</v>
      </c>
      <c r="F89" s="608"/>
      <c r="G89" s="2102">
        <f>'SWEPCO WS C ADIT &amp; ADITC'!D36</f>
        <v>-115597924.745</v>
      </c>
      <c r="H89" s="582"/>
      <c r="I89" s="583" t="s">
        <v>269</v>
      </c>
      <c r="J89" s="584"/>
      <c r="K89" s="570"/>
      <c r="L89" s="2102">
        <f>'SWEPCO WS C ADIT &amp; ADITC'!J38</f>
        <v>-6384633.7032045573</v>
      </c>
      <c r="M89" s="286"/>
      <c r="N89" s="286"/>
      <c r="O89" s="570"/>
    </row>
    <row r="90" spans="2:15">
      <c r="B90" s="600">
        <f t="shared" si="4"/>
        <v>46</v>
      </c>
      <c r="C90" s="609"/>
      <c r="D90" s="495" t="s">
        <v>333</v>
      </c>
      <c r="E90" s="570" t="str">
        <f>"(Worksheet C, ln "&amp;'SWEPCO WS C ADIT &amp; ADITC'!A48&amp;" C &amp; ln "&amp;'SWEPCO WS C ADIT &amp; ADITC'!A52&amp;" J)"</f>
        <v>(Worksheet C, ln 18 C &amp; ln 22 J)</v>
      </c>
      <c r="F90" s="608"/>
      <c r="G90" s="2102">
        <f>+'SWEPCO WS C ADIT &amp; ADITC'!D48</f>
        <v>167607060.22499999</v>
      </c>
      <c r="H90" s="582"/>
      <c r="I90" s="583" t="s">
        <v>269</v>
      </c>
      <c r="J90" s="584"/>
      <c r="K90" s="570"/>
      <c r="L90" s="2102">
        <f>+'SWEPCO WS C ADIT &amp; ADITC'!J52</f>
        <v>83504245.996145412</v>
      </c>
      <c r="M90" s="286"/>
      <c r="N90" s="286"/>
      <c r="O90" s="570"/>
    </row>
    <row r="91" spans="2:15" ht="16" thickBot="1">
      <c r="B91" s="600">
        <f t="shared" si="4"/>
        <v>47</v>
      </c>
      <c r="C91" s="609"/>
      <c r="D91" s="497" t="s">
        <v>274</v>
      </c>
      <c r="E91" s="570" t="str">
        <f>"(Worksheet C, ln "&amp;'SWEPCO WS C ADIT &amp; ADITC'!A62&amp;" C &amp; ln "&amp;'SWEPCO WS C ADIT &amp; ADITC'!A64&amp;" J)"</f>
        <v>(Worksheet C, ln 26 C &amp; ln 28 J)</v>
      </c>
      <c r="F91" s="513"/>
      <c r="G91" s="2103">
        <f>'SWEPCO WS C ADIT &amp; ADITC'!D62</f>
        <v>0</v>
      </c>
      <c r="H91" s="582"/>
      <c r="I91" s="583" t="s">
        <v>269</v>
      </c>
      <c r="J91" s="584"/>
      <c r="K91" s="570"/>
      <c r="L91" s="2103">
        <f>'SWEPCO WS C ADIT &amp; ADITC'!J64</f>
        <v>0</v>
      </c>
      <c r="M91" s="286"/>
      <c r="N91" s="286"/>
      <c r="O91" s="570"/>
    </row>
    <row r="92" spans="2:15">
      <c r="B92" s="600">
        <f t="shared" si="4"/>
        <v>48</v>
      </c>
      <c r="C92" s="609"/>
      <c r="D92" s="495" t="s">
        <v>237</v>
      </c>
      <c r="E92" s="495" t="str">
        <f>"(sum lns "&amp;B87&amp;" to "&amp;B91&amp;")"</f>
        <v>(sum lns 43 to 47)</v>
      </c>
      <c r="F92" s="570"/>
      <c r="G92" s="582">
        <f>SUM(G87:G91)</f>
        <v>-1380871086.7450004</v>
      </c>
      <c r="H92" s="286"/>
      <c r="I92" s="583"/>
      <c r="J92" s="594"/>
      <c r="K92" s="570"/>
      <c r="L92" s="582">
        <f>SUM(L87:L91)</f>
        <v>-222308415.53289211</v>
      </c>
      <c r="M92" s="286"/>
      <c r="N92" s="286"/>
    </row>
    <row r="93" spans="2:15">
      <c r="B93" s="571"/>
      <c r="C93" s="572"/>
      <c r="D93" s="495"/>
      <c r="E93" s="570"/>
      <c r="F93" s="570"/>
      <c r="G93" s="582"/>
      <c r="H93" s="286"/>
      <c r="I93" s="583"/>
      <c r="J93" s="628"/>
      <c r="K93" s="570"/>
      <c r="L93" s="582"/>
      <c r="M93" s="286"/>
      <c r="N93" s="286"/>
    </row>
    <row r="94" spans="2:15">
      <c r="B94" s="571">
        <f>+B92+1</f>
        <v>49</v>
      </c>
      <c r="C94" s="572"/>
      <c r="D94" s="495" t="s">
        <v>343</v>
      </c>
      <c r="E94" s="570" t="str">
        <f>"(Worksheet A-1 ln "&amp;'SWEPCO WS A-1 - Plant'!A53&amp;".F)"</f>
        <v>(Worksheet A-1 ln 30.F)</v>
      </c>
      <c r="F94" s="570"/>
      <c r="G94" s="582">
        <f>+'SWEPCO WS A-1 - Plant'!I53</f>
        <v>1887549.19</v>
      </c>
      <c r="H94" s="286"/>
      <c r="I94" s="583" t="s">
        <v>269</v>
      </c>
      <c r="J94" s="584"/>
      <c r="K94" s="570"/>
      <c r="L94" s="2102">
        <f>+'SWEPCO WS A-1 - Plant'!I51</f>
        <v>0</v>
      </c>
      <c r="M94" s="286"/>
      <c r="N94" s="286"/>
    </row>
    <row r="95" spans="2:15">
      <c r="B95" s="571"/>
      <c r="C95" s="572"/>
      <c r="D95" s="495"/>
      <c r="E95" s="570"/>
      <c r="F95" s="570"/>
      <c r="G95" s="582"/>
      <c r="H95" s="286"/>
      <c r="I95" s="583"/>
      <c r="J95" s="584"/>
      <c r="K95" s="570"/>
      <c r="L95" s="2102"/>
      <c r="M95" s="286"/>
      <c r="N95" s="286"/>
    </row>
    <row r="96" spans="2:15">
      <c r="B96" s="571">
        <f>+B94+1</f>
        <v>50</v>
      </c>
      <c r="C96" s="572"/>
      <c r="D96" s="495" t="s">
        <v>635</v>
      </c>
      <c r="E96" s="570" t="str">
        <f>"(Worksheet S ln "&amp;'SWEPCO WS S Reg Assets'!B52&amp;" cols. G and J) (Note W)"</f>
        <v>(Worksheet S ln 10 cols. G and J) (Note W)</v>
      </c>
      <c r="F96" s="570"/>
      <c r="G96" s="2102">
        <f>+'SWEPCO WS S Reg Assets'!K52</f>
        <v>0</v>
      </c>
      <c r="H96" s="286"/>
      <c r="I96" s="583" t="s">
        <v>269</v>
      </c>
      <c r="J96" s="584"/>
      <c r="K96" s="570"/>
      <c r="L96" s="2102">
        <f>+'SWEPCO WS S Reg Assets'!N52</f>
        <v>0</v>
      </c>
      <c r="M96" s="286"/>
      <c r="N96" s="286"/>
    </row>
    <row r="97" spans="2:14">
      <c r="B97" s="571"/>
      <c r="C97" s="572"/>
      <c r="D97" s="495"/>
      <c r="E97" s="570"/>
      <c r="F97" s="570"/>
      <c r="G97" s="582"/>
      <c r="H97" s="286"/>
      <c r="I97" s="583"/>
      <c r="J97" s="584"/>
      <c r="K97" s="570"/>
      <c r="L97" s="582"/>
      <c r="M97" s="286"/>
      <c r="N97" s="286"/>
    </row>
    <row r="98" spans="2:14">
      <c r="B98" s="600">
        <f>+B96+1</f>
        <v>51</v>
      </c>
      <c r="C98" s="609"/>
      <c r="D98" s="495" t="s">
        <v>877</v>
      </c>
      <c r="E98" s="570" t="str">
        <f>"(Worksheet R, ln "&amp;'SWEPCO WS R Unfunded Reserves'!A18&amp;" F)"</f>
        <v>(Worksheet R, ln 7 F)</v>
      </c>
      <c r="F98" s="608"/>
      <c r="G98" s="582">
        <f>-'SWEPCO WS R Unfunded Reserves'!H18</f>
        <v>-103433.89599999999</v>
      </c>
      <c r="H98" s="286"/>
      <c r="I98" s="583" t="s">
        <v>272</v>
      </c>
      <c r="J98" s="584">
        <f>+$L$221</f>
        <v>0.11769464301813617</v>
      </c>
      <c r="K98" s="570"/>
      <c r="L98" s="582">
        <f>+J98*G98</f>
        <v>-12173.615465695022</v>
      </c>
      <c r="M98" s="286"/>
      <c r="N98" s="286"/>
    </row>
    <row r="99" spans="2:14">
      <c r="B99" s="571"/>
      <c r="C99" s="572"/>
      <c r="D99" s="495"/>
      <c r="E99" s="570"/>
      <c r="F99" s="570"/>
      <c r="G99" s="582"/>
      <c r="H99" s="286"/>
      <c r="I99" s="583"/>
      <c r="J99" s="584"/>
      <c r="K99" s="570"/>
      <c r="L99" s="582"/>
      <c r="M99" s="286"/>
      <c r="N99" s="286"/>
    </row>
    <row r="100" spans="2:14">
      <c r="B100" s="571">
        <f>+B98+1</f>
        <v>52</v>
      </c>
      <c r="C100" s="572"/>
      <c r="D100" s="495" t="s">
        <v>238</v>
      </c>
      <c r="E100" s="570" t="s">
        <v>143</v>
      </c>
      <c r="F100" s="570"/>
      <c r="G100" s="582"/>
      <c r="H100" s="286"/>
      <c r="I100" s="583"/>
      <c r="J100" s="570"/>
      <c r="K100" s="570"/>
      <c r="L100" s="582"/>
      <c r="M100" s="286"/>
      <c r="N100" s="286"/>
    </row>
    <row r="101" spans="2:14">
      <c r="B101" s="600">
        <f t="shared" ref="B101:B109" si="5">+B100+1</f>
        <v>53</v>
      </c>
      <c r="C101" s="609"/>
      <c r="D101" s="495" t="s">
        <v>342</v>
      </c>
      <c r="E101" s="497" t="str">
        <f>"(1/8 * (ln "&amp;B134&amp;" - Ln "&amp;B133&amp;")) (Note G)"</f>
        <v>(1/8 * (ln 70 - Ln 69)) (Note G)</v>
      </c>
      <c r="G101" s="2102">
        <f>(+G134-G133)/8</f>
        <v>5746892.8803750016</v>
      </c>
      <c r="H101" s="570"/>
      <c r="I101" s="583"/>
      <c r="J101" s="628"/>
      <c r="K101" s="570"/>
      <c r="L101" s="582">
        <f>+L134/8</f>
        <v>5504330.3026047237</v>
      </c>
      <c r="M101" s="286"/>
      <c r="N101" s="286"/>
    </row>
    <row r="102" spans="2:14">
      <c r="B102" s="600">
        <f t="shared" si="5"/>
        <v>54</v>
      </c>
      <c r="C102" s="609"/>
      <c r="D102" s="495" t="s">
        <v>403</v>
      </c>
      <c r="E102" s="570" t="str">
        <f>"(Worksheet D, pg 1 ln "&amp;'SWEPCO WS D Working Capital'!A16&amp;" E)"</f>
        <v>(Worksheet D, pg 1 ln 1 E)</v>
      </c>
      <c r="F102" s="608"/>
      <c r="G102" s="2102">
        <f>+'SWEPCO WS D Working Capital'!G16</f>
        <v>292949.25585395063</v>
      </c>
      <c r="H102" s="286"/>
      <c r="I102" s="583" t="s">
        <v>260</v>
      </c>
      <c r="J102" s="584">
        <f>+$L$211</f>
        <v>0.95779239620097978</v>
      </c>
      <c r="K102" s="570"/>
      <c r="L102" s="582">
        <f>+J102*G102</f>
        <v>280584.56972964929</v>
      </c>
      <c r="M102" s="286"/>
      <c r="N102" s="286"/>
    </row>
    <row r="103" spans="2:14">
      <c r="B103" s="600">
        <f t="shared" si="5"/>
        <v>55</v>
      </c>
      <c r="C103" s="609"/>
      <c r="D103" s="495" t="s">
        <v>404</v>
      </c>
      <c r="E103" s="570" t="str">
        <f>"(Worksheet D, pg 1 ln "&amp;'SWEPCO WS D Working Capital'!A17&amp;" E)"</f>
        <v>(Worksheet D, pg 1 ln 2 E)</v>
      </c>
      <c r="F103" s="608"/>
      <c r="G103" s="2102">
        <f>+'SWEPCO WS D Working Capital'!G17</f>
        <v>310854.83680867398</v>
      </c>
      <c r="H103" s="286"/>
      <c r="I103" s="583" t="s">
        <v>272</v>
      </c>
      <c r="J103" s="584">
        <f>+$L$221</f>
        <v>0.11769464301813617</v>
      </c>
      <c r="K103" s="570"/>
      <c r="L103" s="582">
        <f>+J103*G103</f>
        <v>36585.949048657858</v>
      </c>
      <c r="M103" s="286"/>
      <c r="N103" s="286"/>
    </row>
    <row r="104" spans="2:14">
      <c r="B104" s="600">
        <f t="shared" si="5"/>
        <v>56</v>
      </c>
      <c r="C104" s="609"/>
      <c r="D104" s="495" t="s">
        <v>197</v>
      </c>
      <c r="E104" s="570" t="str">
        <f>"(Worksheet D, pg 1 ln "&amp;'SWEPCO WS D Working Capital'!A18&amp;" E)"</f>
        <v>(Worksheet D, pg 1 ln 3 E)</v>
      </c>
      <c r="F104" s="608"/>
      <c r="G104" s="2102">
        <f>+'SWEPCO WS D Working Capital'!G18</f>
        <v>1772.5384615384614</v>
      </c>
      <c r="H104" s="286"/>
      <c r="I104" s="598" t="s">
        <v>631</v>
      </c>
      <c r="J104" s="584">
        <f>+$J$63</f>
        <v>0.24070348547144088</v>
      </c>
      <c r="K104" s="570"/>
      <c r="L104" s="582">
        <f>+J104*G104</f>
        <v>426.65618582449321</v>
      </c>
      <c r="M104" s="286"/>
      <c r="N104" s="286"/>
    </row>
    <row r="105" spans="2:14">
      <c r="B105" s="600">
        <f t="shared" si="5"/>
        <v>57</v>
      </c>
      <c r="C105" s="609"/>
      <c r="D105" s="495" t="s">
        <v>347</v>
      </c>
      <c r="E105" s="570" t="str">
        <f>"(Worksheet D, pg 1 ln "&amp;'SWEPCO WS D Working Capital'!A52&amp;" G)"</f>
        <v>(Worksheet D, pg 1 ln 30 G)</v>
      </c>
      <c r="F105" s="608"/>
      <c r="G105" s="2102">
        <f>+'SWEPCO WS D Working Capital'!J52</f>
        <v>131057122.10992306</v>
      </c>
      <c r="H105" s="286"/>
      <c r="I105" s="583" t="s">
        <v>272</v>
      </c>
      <c r="J105" s="584">
        <f>+$L$221</f>
        <v>0.11769464301813617</v>
      </c>
      <c r="K105" s="570"/>
      <c r="L105" s="582">
        <f>+J105*G105</f>
        <v>15424721.201711677</v>
      </c>
      <c r="M105" s="286"/>
      <c r="N105" s="286"/>
    </row>
    <row r="106" spans="2:14">
      <c r="B106" s="600">
        <f t="shared" si="5"/>
        <v>58</v>
      </c>
      <c r="C106" s="609"/>
      <c r="D106" s="495" t="s">
        <v>348</v>
      </c>
      <c r="E106" s="570" t="str">
        <f>"(Worksheet D, pg 1 ln "&amp;'SWEPCO WS D Working Capital'!A52&amp;" F)"</f>
        <v>(Worksheet D, pg 1 ln 30 F)</v>
      </c>
      <c r="F106" s="608"/>
      <c r="G106" s="2102">
        <f>+'SWEPCO WS D Working Capital'!I52</f>
        <v>3226148.0661538462</v>
      </c>
      <c r="H106" s="286"/>
      <c r="I106" s="598" t="s">
        <v>631</v>
      </c>
      <c r="J106" s="584">
        <f>+$J$63</f>
        <v>0.24070348547144088</v>
      </c>
      <c r="K106" s="570"/>
      <c r="L106" s="582">
        <f>+G106*J106</f>
        <v>776545.08417017944</v>
      </c>
      <c r="M106" s="286"/>
      <c r="N106" s="286"/>
    </row>
    <row r="107" spans="2:14">
      <c r="B107" s="600">
        <f t="shared" si="5"/>
        <v>59</v>
      </c>
      <c r="C107" s="609"/>
      <c r="D107" s="495" t="s">
        <v>389</v>
      </c>
      <c r="E107" s="570" t="str">
        <f>"(Worksheet D, pg 1 ln "&amp;'SWEPCO WS D Working Capital'!A52&amp;" E)"</f>
        <v>(Worksheet D, pg 1 ln 30 E)</v>
      </c>
      <c r="F107" s="608"/>
      <c r="G107" s="2102">
        <f>+'SWEPCO WS D Working Capital'!G52</f>
        <v>0</v>
      </c>
      <c r="H107" s="286"/>
      <c r="I107" s="583" t="s">
        <v>269</v>
      </c>
      <c r="J107" s="584">
        <v>1</v>
      </c>
      <c r="K107" s="570"/>
      <c r="L107" s="2102">
        <f>+G107</f>
        <v>0</v>
      </c>
      <c r="M107" s="286"/>
      <c r="N107" s="286"/>
    </row>
    <row r="108" spans="2:14" ht="16" thickBot="1">
      <c r="B108" s="600">
        <f t="shared" si="5"/>
        <v>60</v>
      </c>
      <c r="C108" s="609"/>
      <c r="D108" s="495" t="s">
        <v>245</v>
      </c>
      <c r="E108" s="570" t="str">
        <f>"(Worksheet D, pg 1 ln "&amp;'SWEPCO WS D Working Capital'!A52&amp;" D)"</f>
        <v>(Worksheet D, pg 1 ln 30 D)</v>
      </c>
      <c r="F108" s="608"/>
      <c r="G108" s="2103">
        <f>+'SWEPCO WS D Working Capital'!E52</f>
        <v>-109787100.62461539</v>
      </c>
      <c r="H108" s="582"/>
      <c r="I108" s="583" t="s">
        <v>267</v>
      </c>
      <c r="J108" s="584">
        <v>0</v>
      </c>
      <c r="K108" s="570"/>
      <c r="L108" s="2103">
        <f>+G108*J108</f>
        <v>0</v>
      </c>
      <c r="M108" s="286"/>
      <c r="N108" s="286"/>
    </row>
    <row r="109" spans="2:14">
      <c r="B109" s="600">
        <f t="shared" si="5"/>
        <v>61</v>
      </c>
      <c r="C109" s="609"/>
      <c r="D109" s="495" t="s">
        <v>222</v>
      </c>
      <c r="E109" s="495" t="str">
        <f>"(sum lns "&amp;B101&amp;" to "&amp;B108&amp;")"</f>
        <v>(sum lns 53 to 60)</v>
      </c>
      <c r="F109" s="495"/>
      <c r="G109" s="582">
        <f>SUM(G101:G108)</f>
        <v>30848639.062960699</v>
      </c>
      <c r="H109" s="495"/>
      <c r="I109" s="572"/>
      <c r="J109" s="495"/>
      <c r="K109" s="495"/>
      <c r="L109" s="582">
        <f>SUM(L101:L108)</f>
        <v>22023193.763450712</v>
      </c>
      <c r="M109" s="286"/>
      <c r="N109" s="286"/>
    </row>
    <row r="110" spans="2:14">
      <c r="B110" s="571"/>
      <c r="C110" s="572"/>
      <c r="D110" s="495"/>
      <c r="E110" s="495"/>
      <c r="F110" s="495"/>
      <c r="G110" s="582"/>
      <c r="H110" s="495"/>
      <c r="I110" s="572"/>
      <c r="J110" s="495"/>
      <c r="K110" s="495"/>
      <c r="L110" s="582"/>
      <c r="M110" s="286"/>
      <c r="N110" s="286"/>
    </row>
    <row r="111" spans="2:14">
      <c r="B111" s="571">
        <f>+B109+1</f>
        <v>62</v>
      </c>
      <c r="C111" s="572"/>
      <c r="D111" s="495" t="s">
        <v>211</v>
      </c>
      <c r="E111" s="495" t="str">
        <f>"(Note H) (Worksheet E, ln "&amp;'SWEPCO WS E IPP Credits'!A22&amp;" B)"</f>
        <v>(Note H) (Worksheet E, ln 8 B)</v>
      </c>
      <c r="F111" s="495"/>
      <c r="G111" s="582">
        <f>IF(G63=0,0,-'SWEPCO WS E IPP Credits'!C22)</f>
        <v>-24159149.5</v>
      </c>
      <c r="H111" s="495"/>
      <c r="I111" s="631" t="s">
        <v>269</v>
      </c>
      <c r="J111" s="584">
        <v>1</v>
      </c>
      <c r="K111" s="570"/>
      <c r="L111" s="582">
        <f>+J111*G111</f>
        <v>-24159149.5</v>
      </c>
      <c r="M111" s="286"/>
      <c r="N111" s="286"/>
    </row>
    <row r="112" spans="2:14" ht="16" thickBot="1">
      <c r="E112" s="570"/>
      <c r="F112" s="570"/>
      <c r="G112" s="615"/>
      <c r="H112" s="570"/>
      <c r="I112" s="583"/>
      <c r="J112" s="570"/>
      <c r="K112" s="570"/>
      <c r="L112" s="615"/>
      <c r="M112" s="286"/>
      <c r="N112" s="286"/>
    </row>
    <row r="113" spans="2:15" ht="16" thickBot="1">
      <c r="B113" s="571">
        <f>+B111+1</f>
        <v>63</v>
      </c>
      <c r="C113" s="572"/>
      <c r="D113" s="495" t="str">
        <f>"RATE BASE  (sum lns "&amp;B83&amp;", "&amp;B92&amp;", "&amp;B94&amp;", "&amp;B96&amp;", "&amp;B98&amp;", "&amp;B109&amp;", "&amp;B111&amp;")"</f>
        <v>RATE BASE  (sum lns 41, 48, 49, 50, 51, 61, 62)</v>
      </c>
      <c r="E113" s="570"/>
      <c r="F113" s="570"/>
      <c r="G113" s="632">
        <f>+G83+G92+G94+G96+G98+G109+G111</f>
        <v>6672349173.1934986</v>
      </c>
      <c r="H113" s="570"/>
      <c r="I113" s="570"/>
      <c r="J113" s="628"/>
      <c r="K113" s="570"/>
      <c r="L113" s="632">
        <f>+L83+L92+L94+L96+L98+L109+L111</f>
        <v>1809260046.1566496</v>
      </c>
      <c r="M113" s="286"/>
      <c r="N113" s="286"/>
    </row>
    <row r="114" spans="2:15" ht="16" thickTop="1">
      <c r="B114" s="571"/>
      <c r="C114" s="286"/>
      <c r="D114" s="286"/>
      <c r="E114" s="286"/>
      <c r="F114" s="286"/>
      <c r="G114" s="286"/>
      <c r="H114" s="286"/>
      <c r="I114" s="505"/>
      <c r="J114" s="505"/>
      <c r="K114" s="505"/>
      <c r="M114" s="286"/>
      <c r="N114" s="286"/>
    </row>
    <row r="115" spans="2:15">
      <c r="B115" s="571"/>
      <c r="C115" s="572"/>
      <c r="D115" s="495"/>
      <c r="E115" s="570"/>
      <c r="F115" s="570"/>
      <c r="G115" s="570"/>
      <c r="H115" s="570"/>
      <c r="I115" s="570"/>
      <c r="J115" s="570"/>
      <c r="K115" s="570"/>
      <c r="L115" s="570"/>
      <c r="M115" s="286"/>
      <c r="N115" s="286"/>
    </row>
    <row r="116" spans="2:15">
      <c r="B116" s="571"/>
      <c r="C116" s="572"/>
      <c r="D116" s="495"/>
      <c r="E116" s="570"/>
      <c r="F116" s="583" t="str">
        <f>F42</f>
        <v xml:space="preserve">AEP West SPP Member Operating Companies </v>
      </c>
      <c r="G116" s="583"/>
      <c r="H116" s="570"/>
      <c r="I116" s="570"/>
      <c r="J116" s="570"/>
      <c r="K116" s="570"/>
      <c r="L116" s="570"/>
      <c r="M116" s="286"/>
      <c r="N116" s="286"/>
    </row>
    <row r="117" spans="2:15">
      <c r="B117" s="571"/>
      <c r="C117" s="572"/>
      <c r="D117" s="495"/>
      <c r="E117" s="570"/>
      <c r="F117" s="583" t="str">
        <f>F43</f>
        <v>Transmission Cost of Service Formula Rate</v>
      </c>
      <c r="G117" s="583"/>
      <c r="H117" s="570"/>
      <c r="I117" s="570"/>
      <c r="J117" s="570"/>
      <c r="K117" s="570"/>
      <c r="L117" s="570"/>
      <c r="M117" s="286"/>
      <c r="N117" s="286"/>
    </row>
    <row r="118" spans="2:15">
      <c r="B118" s="571"/>
      <c r="C118" s="572"/>
      <c r="E118" s="570"/>
      <c r="F118" s="583" t="str">
        <f>F44</f>
        <v>Utilizing Actual / Projected Cost Data for the 2024 Rate Year</v>
      </c>
      <c r="G118" s="570"/>
      <c r="H118" s="570"/>
      <c r="I118" s="570"/>
      <c r="J118" s="570"/>
      <c r="K118" s="570"/>
      <c r="L118" s="570"/>
      <c r="M118" s="286"/>
      <c r="N118" s="286"/>
    </row>
    <row r="119" spans="2:15">
      <c r="B119" s="571"/>
      <c r="C119" s="572"/>
      <c r="E119" s="570"/>
      <c r="F119" s="583"/>
      <c r="G119" s="570"/>
      <c r="H119" s="570"/>
      <c r="I119" s="570"/>
      <c r="J119" s="570"/>
      <c r="K119" s="570"/>
      <c r="L119" s="570"/>
      <c r="M119" s="286"/>
      <c r="N119" s="286"/>
    </row>
    <row r="120" spans="2:15">
      <c r="B120" s="571"/>
      <c r="C120" s="572"/>
      <c r="E120" s="633"/>
      <c r="F120" s="583" t="str">
        <f>F46</f>
        <v>SOUTHWESTERN ELECTRIC POWER COMPANY</v>
      </c>
      <c r="G120" s="633"/>
      <c r="H120" s="633"/>
      <c r="I120" s="633"/>
      <c r="J120" s="633"/>
      <c r="K120" s="633"/>
      <c r="M120" s="286"/>
      <c r="N120" s="286"/>
    </row>
    <row r="121" spans="2:15">
      <c r="B121" s="571"/>
      <c r="C121" s="572"/>
      <c r="E121" s="633"/>
      <c r="F121" s="583"/>
      <c r="G121" s="633"/>
      <c r="H121" s="633"/>
      <c r="I121" s="633"/>
      <c r="J121" s="633"/>
      <c r="K121" s="633"/>
      <c r="M121" s="286"/>
      <c r="N121" s="286"/>
    </row>
    <row r="122" spans="2:15">
      <c r="D122" s="572" t="s">
        <v>261</v>
      </c>
      <c r="E122" s="572" t="s">
        <v>262</v>
      </c>
      <c r="F122" s="572"/>
      <c r="G122" s="572" t="s">
        <v>263</v>
      </c>
      <c r="H122" s="570"/>
      <c r="I122" s="2269" t="s">
        <v>264</v>
      </c>
      <c r="J122" s="2270"/>
      <c r="K122" s="570"/>
      <c r="L122" s="573" t="s">
        <v>265</v>
      </c>
      <c r="M122" s="286"/>
      <c r="N122" s="286"/>
    </row>
    <row r="123" spans="2:15">
      <c r="B123" s="497"/>
      <c r="D123" s="572"/>
      <c r="E123" s="572"/>
      <c r="F123" s="572"/>
      <c r="G123" s="572"/>
      <c r="H123" s="570"/>
      <c r="I123" s="570"/>
      <c r="J123" s="599"/>
      <c r="K123" s="570"/>
      <c r="M123" s="286"/>
      <c r="N123" s="286"/>
      <c r="O123" s="505"/>
    </row>
    <row r="124" spans="2:15">
      <c r="B124" s="600"/>
      <c r="C124" s="572"/>
      <c r="D124" s="634" t="s">
        <v>241</v>
      </c>
      <c r="E124" s="601" t="str">
        <f>E50</f>
        <v>Data Sources</v>
      </c>
      <c r="F124" s="602"/>
      <c r="G124" s="570"/>
      <c r="H124" s="570"/>
      <c r="I124" s="570"/>
      <c r="J124" s="572"/>
      <c r="K124" s="570"/>
      <c r="L124" s="601" t="str">
        <f>L50</f>
        <v>Total</v>
      </c>
      <c r="M124" s="286"/>
      <c r="N124" s="286"/>
      <c r="O124" s="505"/>
    </row>
    <row r="125" spans="2:15">
      <c r="B125" s="497"/>
      <c r="C125" s="572"/>
      <c r="D125" s="604" t="s">
        <v>242</v>
      </c>
      <c r="E125" s="635" t="str">
        <f>E51</f>
        <v>(See "General Notes")</v>
      </c>
      <c r="F125" s="570"/>
      <c r="G125" s="635" t="str">
        <f>G51</f>
        <v>TO Total</v>
      </c>
      <c r="H125" s="606"/>
      <c r="I125" s="2267" t="str">
        <f>I51</f>
        <v>Allocator</v>
      </c>
      <c r="J125" s="2268"/>
      <c r="K125" s="606"/>
      <c r="L125" s="635" t="str">
        <f>L51</f>
        <v>Transmission</v>
      </c>
      <c r="M125" s="286"/>
      <c r="N125" s="286"/>
      <c r="O125" s="505"/>
    </row>
    <row r="126" spans="2:15">
      <c r="B126" s="636" t="str">
        <f>B52</f>
        <v>Line</v>
      </c>
      <c r="D126" s="495"/>
      <c r="E126" s="570"/>
      <c r="F126" s="570"/>
      <c r="G126" s="604"/>
      <c r="H126" s="637"/>
      <c r="I126" s="634"/>
      <c r="K126" s="637"/>
      <c r="L126" s="604"/>
      <c r="M126" s="286"/>
      <c r="N126" s="286"/>
    </row>
    <row r="127" spans="2:15" ht="16" thickBot="1">
      <c r="B127" s="577" t="str">
        <f>B53</f>
        <v>No.</v>
      </c>
      <c r="C127" s="572"/>
      <c r="D127" s="495" t="s">
        <v>243</v>
      </c>
      <c r="E127" s="570"/>
      <c r="F127" s="570"/>
      <c r="G127" s="570"/>
      <c r="H127" s="570"/>
      <c r="I127" s="583"/>
      <c r="J127" s="570"/>
      <c r="K127" s="570"/>
      <c r="L127" s="570"/>
      <c r="M127" s="286"/>
      <c r="N127" s="286"/>
    </row>
    <row r="128" spans="2:15">
      <c r="B128" s="571">
        <f>+B113+1</f>
        <v>64</v>
      </c>
      <c r="C128" s="572"/>
      <c r="D128" s="495" t="s">
        <v>275</v>
      </c>
      <c r="E128" s="570" t="s">
        <v>53</v>
      </c>
      <c r="F128" s="570"/>
      <c r="G128" s="1279">
        <v>169633239.94200003</v>
      </c>
      <c r="H128"/>
      <c r="I128" s="286"/>
      <c r="J128" s="286"/>
      <c r="K128" s="286"/>
      <c r="L128" s="286"/>
      <c r="M128" s="286"/>
      <c r="N128" s="286"/>
      <c r="O128" s="570"/>
    </row>
    <row r="129" spans="1:15">
      <c r="A129" s="286"/>
      <c r="B129" s="571">
        <f>+B128+1</f>
        <v>65</v>
      </c>
      <c r="C129" s="572"/>
      <c r="D129" s="495" t="s">
        <v>399</v>
      </c>
      <c r="E129" s="570" t="s">
        <v>183</v>
      </c>
      <c r="F129" s="570"/>
      <c r="G129" s="1279">
        <v>9600331.5189999994</v>
      </c>
      <c r="H129"/>
      <c r="I129" s="286"/>
      <c r="J129" s="286"/>
      <c r="K129" s="286"/>
      <c r="L129" s="286"/>
      <c r="M129" s="286"/>
      <c r="N129" s="286"/>
      <c r="O129" s="570"/>
    </row>
    <row r="130" spans="1:15">
      <c r="A130" s="286"/>
      <c r="B130" s="571">
        <f t="shared" ref="B130:B134" si="6">+B129+1</f>
        <v>66</v>
      </c>
      <c r="C130" s="572"/>
      <c r="D130" s="495" t="s">
        <v>206</v>
      </c>
      <c r="E130" s="570" t="s">
        <v>184</v>
      </c>
      <c r="F130" s="570"/>
      <c r="G130" s="1279">
        <v>115280270.88000003</v>
      </c>
      <c r="H130"/>
      <c r="I130" s="286"/>
      <c r="J130" s="286"/>
      <c r="K130" s="286"/>
      <c r="L130" s="286"/>
      <c r="M130" s="286"/>
      <c r="N130" s="286"/>
      <c r="O130" s="570"/>
    </row>
    <row r="131" spans="1:15">
      <c r="A131" s="286"/>
      <c r="B131" s="571">
        <f t="shared" si="6"/>
        <v>67</v>
      </c>
      <c r="C131" s="572"/>
      <c r="D131" s="495" t="s">
        <v>764</v>
      </c>
      <c r="E131" s="570" t="str">
        <f>"Worksheet S ln "&amp;'SWEPCO WS S Reg Assets'!B18&amp;" (Note V)"</f>
        <v>Worksheet S ln 2 (Note V)</v>
      </c>
      <c r="F131" s="570"/>
      <c r="G131" s="2138">
        <f>+'SWEPCO WS S Reg Assets'!I18</f>
        <v>-1222505.5</v>
      </c>
      <c r="H131"/>
      <c r="I131" s="286"/>
      <c r="J131" s="286"/>
      <c r="K131" s="286"/>
      <c r="L131" s="286"/>
      <c r="M131" s="286"/>
      <c r="N131" s="286"/>
      <c r="O131" s="570"/>
    </row>
    <row r="132" spans="1:15">
      <c r="A132" s="286"/>
      <c r="B132" s="571">
        <f t="shared" si="6"/>
        <v>68</v>
      </c>
      <c r="C132" s="572"/>
      <c r="D132" s="495" t="s">
        <v>645</v>
      </c>
      <c r="E132" s="570" t="str">
        <f>"Worksheet I ln "&amp;'SWEPCO WS I Exp Adj'!B21&amp;""</f>
        <v>Worksheet I ln 10</v>
      </c>
      <c r="F132" s="570"/>
      <c r="G132" s="2102">
        <f>+'SWEPCO WS I Exp Adj'!G21</f>
        <v>0</v>
      </c>
      <c r="H132"/>
      <c r="I132" s="286"/>
      <c r="J132" s="286"/>
      <c r="K132" s="286"/>
      <c r="L132" s="286"/>
      <c r="M132" s="286"/>
      <c r="N132" s="286"/>
      <c r="O132" s="570"/>
    </row>
    <row r="133" spans="1:15" ht="16" thickBot="1">
      <c r="A133" s="286"/>
      <c r="B133" s="571">
        <f t="shared" si="6"/>
        <v>69</v>
      </c>
      <c r="C133" s="572"/>
      <c r="D133" s="495" t="s">
        <v>765</v>
      </c>
      <c r="E133" s="570" t="str">
        <f>"Worksheet S ln "&amp;'SWEPCO WS S Reg Assets'!B25&amp;" (Note V)"</f>
        <v>Worksheet S ln 4 (Note V)</v>
      </c>
      <c r="F133" s="570"/>
      <c r="G133" s="2102">
        <f>+'SWEPCO WS S Reg Assets'!I25</f>
        <v>0</v>
      </c>
      <c r="H133"/>
      <c r="I133" s="286"/>
      <c r="J133" s="286"/>
      <c r="K133" s="286"/>
      <c r="L133" s="286"/>
      <c r="M133" s="286"/>
      <c r="N133" s="286"/>
      <c r="O133" s="570"/>
    </row>
    <row r="134" spans="1:15">
      <c r="A134" s="286"/>
      <c r="B134" s="571">
        <f t="shared" si="6"/>
        <v>70</v>
      </c>
      <c r="C134" s="572"/>
      <c r="D134" s="495" t="s">
        <v>49</v>
      </c>
      <c r="E134" s="570" t="str">
        <f>"(lns "&amp;B128&amp;" - "&amp;B129&amp;" - "&amp;B130&amp;" - "&amp;B131&amp;" + "&amp;B132&amp;" + "&amp;B133&amp;")"</f>
        <v>(lns 64 - 65 - 66 - 67 + 68 + 69)</v>
      </c>
      <c r="F134" s="495"/>
      <c r="G134" s="640">
        <f>+G128-G129-G130-G131+G132+G133</f>
        <v>45975143.043000013</v>
      </c>
      <c r="H134"/>
      <c r="I134" s="583" t="s">
        <v>260</v>
      </c>
      <c r="J134" s="584">
        <f>+$L$211</f>
        <v>0.95779239620097978</v>
      </c>
      <c r="K134" s="570"/>
      <c r="L134" s="582">
        <f>+J134*G134</f>
        <v>44034642.42083779</v>
      </c>
      <c r="M134" s="286"/>
      <c r="N134" s="286"/>
      <c r="O134" s="570"/>
    </row>
    <row r="135" spans="1:15">
      <c r="A135" s="286"/>
      <c r="B135" s="571"/>
      <c r="C135" s="572"/>
      <c r="D135" s="495"/>
      <c r="E135" s="570"/>
      <c r="F135" s="570"/>
      <c r="G135" s="286"/>
      <c r="H135"/>
      <c r="I135" s="286"/>
      <c r="J135" s="286"/>
      <c r="K135" s="286"/>
      <c r="L135" s="286"/>
      <c r="M135" s="286"/>
      <c r="N135" s="286"/>
      <c r="O135" s="570"/>
    </row>
    <row r="136" spans="1:15">
      <c r="A136" s="286"/>
      <c r="B136" s="571">
        <f>+B134+1</f>
        <v>71</v>
      </c>
      <c r="C136" s="572"/>
      <c r="D136" s="495" t="s">
        <v>244</v>
      </c>
      <c r="E136" s="570" t="s">
        <v>416</v>
      </c>
      <c r="F136" s="570"/>
      <c r="G136" s="1279">
        <v>95799012.796999946</v>
      </c>
      <c r="H136"/>
      <c r="I136" s="624"/>
      <c r="J136" s="624"/>
      <c r="K136" s="570"/>
      <c r="L136" s="582"/>
      <c r="M136" s="286"/>
      <c r="N136" s="286"/>
      <c r="O136" s="570"/>
    </row>
    <row r="137" spans="1:15">
      <c r="A137" s="286"/>
      <c r="B137" s="571">
        <f t="shared" ref="B137:B144" si="7">+B136+1</f>
        <v>72</v>
      </c>
      <c r="C137" s="572"/>
      <c r="D137" s="495" t="s">
        <v>401</v>
      </c>
      <c r="E137" s="570" t="s">
        <v>54</v>
      </c>
      <c r="F137" s="570"/>
      <c r="G137" s="1279">
        <v>10016422.242000001</v>
      </c>
      <c r="H137"/>
      <c r="I137" s="624"/>
      <c r="J137" s="495"/>
      <c r="K137" s="570"/>
      <c r="L137" s="582"/>
      <c r="M137" s="286"/>
      <c r="N137" s="286"/>
      <c r="O137" s="570"/>
    </row>
    <row r="138" spans="1:15">
      <c r="B138" s="571">
        <f t="shared" si="7"/>
        <v>73</v>
      </c>
      <c r="C138" s="572"/>
      <c r="D138" s="495" t="s">
        <v>400</v>
      </c>
      <c r="E138" s="570" t="s">
        <v>185</v>
      </c>
      <c r="F138" s="570"/>
      <c r="G138" s="582">
        <f>+'SWEPCO WS J Misc Exp'!D115</f>
        <v>9822614.4580000006</v>
      </c>
      <c r="H138"/>
      <c r="I138" s="624"/>
      <c r="J138" s="641"/>
      <c r="K138" s="570"/>
      <c r="L138" s="582"/>
      <c r="M138" s="286"/>
      <c r="N138" s="286"/>
      <c r="O138" s="570"/>
    </row>
    <row r="139" spans="1:15">
      <c r="B139" s="571">
        <f t="shared" si="7"/>
        <v>74</v>
      </c>
      <c r="C139" s="572"/>
      <c r="D139" s="495" t="s">
        <v>247</v>
      </c>
      <c r="E139" s="570" t="s">
        <v>186</v>
      </c>
      <c r="F139" s="570"/>
      <c r="G139" s="582">
        <f>+'SWEPCO WS J Misc Exp'!D124</f>
        <v>333517.07900000003</v>
      </c>
      <c r="H139"/>
      <c r="I139" s="624"/>
      <c r="J139" s="624"/>
      <c r="K139" s="570"/>
      <c r="L139" s="582"/>
      <c r="M139" s="286"/>
      <c r="N139" s="286"/>
      <c r="O139" s="570"/>
    </row>
    <row r="140" spans="1:15">
      <c r="B140" s="571">
        <f t="shared" si="7"/>
        <v>75</v>
      </c>
      <c r="C140" s="572"/>
      <c r="D140" s="495" t="s">
        <v>402</v>
      </c>
      <c r="E140" s="570" t="s">
        <v>187</v>
      </c>
      <c r="F140" s="570"/>
      <c r="G140" s="582">
        <f>+'SWEPCO WS J Misc Exp'!D137</f>
        <v>6106827.7149999924</v>
      </c>
      <c r="H140"/>
      <c r="I140" s="624"/>
      <c r="J140" s="624"/>
      <c r="K140" s="570"/>
      <c r="L140" s="582"/>
      <c r="M140" s="286"/>
      <c r="N140" s="286"/>
      <c r="O140" s="570"/>
    </row>
    <row r="141" spans="1:15" ht="16" thickBot="1">
      <c r="B141" s="571">
        <f>+B140+1</f>
        <v>76</v>
      </c>
      <c r="C141" s="572"/>
      <c r="D141" s="495" t="s">
        <v>787</v>
      </c>
      <c r="E141" s="570" t="str">
        <f>"Worksheet S ln "&amp;'SWEPCO WS S Reg Assets'!B35&amp;" (Note V)"</f>
        <v>Worksheet S ln 6 (Note V)</v>
      </c>
      <c r="F141" s="570"/>
      <c r="G141" s="582">
        <f>+'SWEPCO WS S Reg Assets'!I35</f>
        <v>6008837.7200000007</v>
      </c>
      <c r="H141"/>
      <c r="I141" s="624"/>
      <c r="J141" s="624"/>
      <c r="K141" s="570"/>
      <c r="L141" s="582"/>
      <c r="M141" s="286"/>
      <c r="N141" s="286"/>
      <c r="O141" s="570"/>
    </row>
    <row r="142" spans="1:15">
      <c r="B142" s="571">
        <f>+B141+1</f>
        <v>77</v>
      </c>
      <c r="C142" s="572"/>
      <c r="D142" s="495" t="s">
        <v>248</v>
      </c>
      <c r="E142" s="570" t="str">
        <f>"(ln "&amp;B136&amp;" - sum ln "&amp;B137&amp;"  to ln "&amp;B141&amp;")"</f>
        <v>(ln 71 - sum ln 72  to ln 76)</v>
      </c>
      <c r="F142" s="570"/>
      <c r="G142" s="640">
        <f>G136-SUM(G137:G141)</f>
        <v>63510793.582999952</v>
      </c>
      <c r="H142"/>
      <c r="I142" s="583" t="s">
        <v>272</v>
      </c>
      <c r="J142" s="584">
        <f>+$L$221</f>
        <v>0.11769464301813617</v>
      </c>
      <c r="K142" s="570"/>
      <c r="L142" s="582">
        <f>+J142*G142</f>
        <v>7474880.1785497135</v>
      </c>
      <c r="M142" s="286"/>
      <c r="N142" s="286"/>
      <c r="O142" s="570"/>
    </row>
    <row r="143" spans="1:15">
      <c r="B143" s="571">
        <f t="shared" si="7"/>
        <v>78</v>
      </c>
      <c r="C143" s="572"/>
      <c r="D143" s="495" t="s">
        <v>334</v>
      </c>
      <c r="E143" s="570" t="str">
        <f>"(ln "&amp;B137&amp;")"</f>
        <v>(ln 72)</v>
      </c>
      <c r="F143" s="570"/>
      <c r="G143" s="582">
        <f>+G137</f>
        <v>10016422.242000001</v>
      </c>
      <c r="H143"/>
      <c r="I143" s="598" t="s">
        <v>631</v>
      </c>
      <c r="J143" s="584">
        <f>+$J$63</f>
        <v>0.24070348547144088</v>
      </c>
      <c r="K143" s="570"/>
      <c r="L143" s="582">
        <f>+J143*G143</f>
        <v>2410987.7456030645</v>
      </c>
      <c r="M143" s="286"/>
      <c r="N143" s="286"/>
      <c r="O143" s="570"/>
    </row>
    <row r="144" spans="1:15">
      <c r="B144" s="571">
        <f t="shared" si="7"/>
        <v>79</v>
      </c>
      <c r="C144" s="572"/>
      <c r="D144" s="495" t="s">
        <v>359</v>
      </c>
      <c r="E144" s="570" t="str">
        <f>"Worksheet J ln "&amp;'SWEPCO WS J Misc Exp'!A115&amp;".(E) (Note L)"</f>
        <v>Worksheet J ln 97.(E) (Note L)</v>
      </c>
      <c r="F144" s="570"/>
      <c r="G144" s="582">
        <f>+'SWEPCO WS J Misc Exp'!F115</f>
        <v>1310961.0954303723</v>
      </c>
      <c r="H144"/>
      <c r="I144" s="583" t="s">
        <v>260</v>
      </c>
      <c r="J144" s="584">
        <f>+$L$211</f>
        <v>0.95779239620097978</v>
      </c>
      <c r="K144" s="570"/>
      <c r="L144" s="582">
        <f>J144*G144</f>
        <v>1255628.5689185176</v>
      </c>
      <c r="M144" s="286"/>
      <c r="N144" s="286"/>
      <c r="O144" s="570"/>
    </row>
    <row r="145" spans="2:15">
      <c r="B145" s="571">
        <f>+B144+1</f>
        <v>80</v>
      </c>
      <c r="C145" s="572"/>
      <c r="D145" s="495" t="s">
        <v>361</v>
      </c>
      <c r="E145" s="570" t="str">
        <f>"Worksheet J ln "&amp;'SWEPCO WS J Misc Exp'!A124&amp;".(E) (Note L)"</f>
        <v>Worksheet J ln 103.(E) (Note L)</v>
      </c>
      <c r="F145" s="570"/>
      <c r="G145" s="2102">
        <f>'SWEPCO WS J Misc Exp'!F124</f>
        <v>0</v>
      </c>
      <c r="H145"/>
      <c r="I145" s="598" t="s">
        <v>631</v>
      </c>
      <c r="J145" s="584">
        <f>+J63</f>
        <v>0.24070348547144088</v>
      </c>
      <c r="K145" s="570"/>
      <c r="L145" s="2102">
        <f>+J145*G145</f>
        <v>0</v>
      </c>
      <c r="M145" s="286"/>
      <c r="N145" s="286"/>
      <c r="O145" s="570"/>
    </row>
    <row r="146" spans="2:15">
      <c r="B146" s="571">
        <f>+B145+1</f>
        <v>81</v>
      </c>
      <c r="C146" s="572"/>
      <c r="D146" s="495" t="s">
        <v>362</v>
      </c>
      <c r="E146" s="570" t="str">
        <f>"Worksheet J ln "&amp;'SWEPCO WS J Misc Exp'!A137&amp;".(E) (Note L)"</f>
        <v>Worksheet J ln 112.(E) (Note L)</v>
      </c>
      <c r="F146" s="570"/>
      <c r="G146" s="582">
        <f>'SWEPCO WS J Misc Exp'!F137</f>
        <v>4435532</v>
      </c>
      <c r="H146"/>
      <c r="I146" s="583" t="s">
        <v>269</v>
      </c>
      <c r="J146" s="584">
        <v>1</v>
      </c>
      <c r="K146" s="570"/>
      <c r="L146" s="582">
        <f>J146*G146</f>
        <v>4435532</v>
      </c>
      <c r="M146" s="286"/>
      <c r="N146" s="286"/>
      <c r="O146" s="570"/>
    </row>
    <row r="147" spans="2:15" ht="16" thickBot="1">
      <c r="B147" s="571">
        <f>+B146+1</f>
        <v>82</v>
      </c>
      <c r="C147" s="572"/>
      <c r="D147" s="495" t="s">
        <v>788</v>
      </c>
      <c r="E147" s="570" t="str">
        <f>"Worksheet S ln "&amp;'SWEPCO WS S Reg Assets'!B40&amp;" (Note V)"</f>
        <v>Worksheet S ln 8 (Note V)</v>
      </c>
      <c r="F147" s="570"/>
      <c r="G147" s="582">
        <f>+'SWEPCO WS S Reg Assets'!I40</f>
        <v>533308.39000000013</v>
      </c>
      <c r="H147"/>
      <c r="I147" s="583" t="s">
        <v>272</v>
      </c>
      <c r="J147" s="584">
        <f>+$L$221</f>
        <v>0.11769464301813617</v>
      </c>
      <c r="K147" s="570"/>
      <c r="L147" s="582">
        <f>J147*G147</f>
        <v>62767.540579626962</v>
      </c>
      <c r="M147" s="286"/>
      <c r="N147" s="286"/>
      <c r="O147" s="570"/>
    </row>
    <row r="148" spans="2:15">
      <c r="B148" s="571">
        <f>+B147+1</f>
        <v>83</v>
      </c>
      <c r="C148" s="572"/>
      <c r="D148" s="495" t="s">
        <v>249</v>
      </c>
      <c r="E148" s="580" t="str">
        <f>"(sum lns "&amp;B142&amp;" to "&amp;B147&amp;")"</f>
        <v>(sum lns 77 to 82)</v>
      </c>
      <c r="F148" s="570"/>
      <c r="G148" s="640">
        <f>SUM(G142:G147)</f>
        <v>79807017.310430333</v>
      </c>
      <c r="H148"/>
      <c r="I148" s="583"/>
      <c r="J148" s="624"/>
      <c r="K148" s="570"/>
      <c r="L148" s="640">
        <f>SUM(L142:L147)</f>
        <v>15639796.033650922</v>
      </c>
      <c r="M148" s="286"/>
      <c r="N148" s="286"/>
      <c r="O148" s="570"/>
    </row>
    <row r="149" spans="2:15" ht="16" thickBot="1">
      <c r="B149" s="571"/>
      <c r="C149" s="572"/>
      <c r="D149" s="495"/>
      <c r="E149" s="570"/>
      <c r="F149" s="570"/>
      <c r="G149" s="615"/>
      <c r="H149"/>
      <c r="I149" s="583"/>
      <c r="J149" s="624"/>
      <c r="K149" s="570"/>
      <c r="L149" s="615"/>
      <c r="M149" s="286"/>
      <c r="N149" s="286"/>
      <c r="O149" s="570"/>
    </row>
    <row r="150" spans="2:15">
      <c r="B150" s="571">
        <f>+B148+1</f>
        <v>84</v>
      </c>
      <c r="C150" s="572"/>
      <c r="D150" s="495" t="s">
        <v>250</v>
      </c>
      <c r="E150" s="570" t="str">
        <f>"(ln "&amp;B134&amp;" + ln "&amp;B148&amp;")"</f>
        <v>(ln 70 + ln 83)</v>
      </c>
      <c r="F150" s="570"/>
      <c r="G150" s="582">
        <f>G134+G148</f>
        <v>125782160.35343035</v>
      </c>
      <c r="H150"/>
      <c r="I150" s="583"/>
      <c r="J150" s="630"/>
      <c r="K150" s="570"/>
      <c r="L150" s="582">
        <f>+L148+L134</f>
        <v>59674438.45448871</v>
      </c>
      <c r="M150" s="286"/>
      <c r="N150" s="286"/>
      <c r="O150" s="570"/>
    </row>
    <row r="151" spans="2:15">
      <c r="B151" s="571"/>
      <c r="C151" s="572"/>
      <c r="D151" s="495"/>
      <c r="E151" s="570"/>
      <c r="F151" s="570"/>
      <c r="G151" s="582"/>
      <c r="H151"/>
      <c r="I151" s="583"/>
      <c r="J151" s="624"/>
      <c r="K151" s="570"/>
      <c r="L151" s="582"/>
      <c r="M151" s="286"/>
      <c r="N151" s="286"/>
      <c r="O151" s="570"/>
    </row>
    <row r="152" spans="2:15">
      <c r="B152" s="571">
        <f>+B150+1</f>
        <v>85</v>
      </c>
      <c r="C152" s="572"/>
      <c r="D152" s="495" t="s">
        <v>253</v>
      </c>
      <c r="E152" s="583"/>
      <c r="F152" s="583"/>
      <c r="G152" s="582"/>
      <c r="H152"/>
      <c r="I152" s="583"/>
      <c r="J152" s="570"/>
      <c r="K152" s="570"/>
      <c r="L152" s="582"/>
      <c r="M152" s="286"/>
      <c r="N152" s="286"/>
      <c r="O152" s="570"/>
    </row>
    <row r="153" spans="2:15">
      <c r="B153" s="571">
        <f t="shared" ref="B153:B156" si="8">+B152+1</f>
        <v>86</v>
      </c>
      <c r="C153" s="572"/>
      <c r="D153" s="610" t="s">
        <v>268</v>
      </c>
      <c r="E153" s="580" t="s">
        <v>923</v>
      </c>
      <c r="F153" s="642"/>
      <c r="G153" s="1279">
        <v>62416638</v>
      </c>
      <c r="H153"/>
      <c r="I153" s="612" t="s">
        <v>260</v>
      </c>
      <c r="J153" s="584">
        <f>+L211</f>
        <v>0.95779239620097978</v>
      </c>
      <c r="K153" s="570"/>
      <c r="L153" s="614">
        <f>+G153*J153</f>
        <v>59782181.27282913</v>
      </c>
      <c r="M153" s="286"/>
      <c r="N153" s="286"/>
      <c r="O153" s="570"/>
    </row>
    <row r="154" spans="2:15">
      <c r="B154" s="571">
        <f>+B153+1</f>
        <v>87</v>
      </c>
      <c r="C154" s="572"/>
      <c r="D154" s="495" t="s">
        <v>276</v>
      </c>
      <c r="E154" s="642" t="s">
        <v>924</v>
      </c>
      <c r="F154" s="570"/>
      <c r="G154" s="1279">
        <v>10037679</v>
      </c>
      <c r="H154"/>
      <c r="I154" s="583" t="s">
        <v>272</v>
      </c>
      <c r="J154" s="584">
        <f>+$L$221</f>
        <v>0.11769464301813617</v>
      </c>
      <c r="K154" s="570"/>
      <c r="L154" s="582">
        <f>+J154*G154</f>
        <v>1181381.0466356422</v>
      </c>
      <c r="M154" s="286"/>
      <c r="N154" s="286"/>
      <c r="O154" s="570"/>
    </row>
    <row r="155" spans="2:15" ht="16" thickBot="1">
      <c r="B155" s="571">
        <f t="shared" si="8"/>
        <v>88</v>
      </c>
      <c r="C155" s="572"/>
      <c r="D155" s="495" t="s">
        <v>277</v>
      </c>
      <c r="E155" s="642" t="s">
        <v>688</v>
      </c>
      <c r="F155" s="570"/>
      <c r="G155" s="1279">
        <v>32052237</v>
      </c>
      <c r="H155"/>
      <c r="I155" s="583" t="s">
        <v>272</v>
      </c>
      <c r="J155" s="584">
        <f>+L221</f>
        <v>0.11769464301813617</v>
      </c>
      <c r="K155" s="570"/>
      <c r="L155" s="615">
        <f>+J155*G155</f>
        <v>3772376.5916476957</v>
      </c>
      <c r="M155" s="286"/>
      <c r="N155" s="286"/>
      <c r="O155" s="570"/>
    </row>
    <row r="156" spans="2:15">
      <c r="B156" s="571">
        <f t="shared" si="8"/>
        <v>89</v>
      </c>
      <c r="C156" s="572"/>
      <c r="D156" s="495" t="s">
        <v>387</v>
      </c>
      <c r="E156" s="580" t="str">
        <f>"(sum lns "&amp;B153&amp;" to "&amp;B155&amp;")"</f>
        <v>(sum lns 86 to 88)</v>
      </c>
      <c r="F156" s="570"/>
      <c r="G156" s="640">
        <f>SUM(G153:G155)</f>
        <v>104506554</v>
      </c>
      <c r="H156" s="570"/>
      <c r="I156" s="583"/>
      <c r="J156" s="570"/>
      <c r="K156" s="570"/>
      <c r="L156" s="582">
        <f>SUM(L153:L155)</f>
        <v>64735938.911112472</v>
      </c>
      <c r="M156" s="286"/>
      <c r="N156" s="286"/>
      <c r="O156" s="570"/>
    </row>
    <row r="157" spans="2:15">
      <c r="B157" s="571"/>
      <c r="C157" s="572"/>
      <c r="D157" s="495"/>
      <c r="E157" s="580"/>
      <c r="F157" s="570"/>
      <c r="G157" s="582"/>
      <c r="H157" s="570"/>
      <c r="I157" s="583"/>
      <c r="J157" s="570"/>
      <c r="K157" s="570"/>
      <c r="L157" s="582"/>
      <c r="M157" s="286"/>
      <c r="N157" s="286"/>
      <c r="O157" s="570"/>
    </row>
    <row r="158" spans="2:15">
      <c r="B158" s="571">
        <f>+B156+1</f>
        <v>90</v>
      </c>
      <c r="C158" s="572"/>
      <c r="D158" s="495" t="s">
        <v>212</v>
      </c>
      <c r="E158" s="570" t="s">
        <v>415</v>
      </c>
      <c r="G158" s="582"/>
      <c r="H158" s="570"/>
      <c r="I158" s="583"/>
      <c r="J158" s="570"/>
      <c r="K158" s="570"/>
      <c r="L158" s="582"/>
      <c r="M158" s="286"/>
      <c r="N158" s="286"/>
      <c r="O158" s="570"/>
    </row>
    <row r="159" spans="2:15">
      <c r="B159" s="571">
        <f t="shared" ref="B159:B165" si="9">+B158+1</f>
        <v>91</v>
      </c>
      <c r="C159" s="572"/>
      <c r="D159" s="495" t="s">
        <v>278</v>
      </c>
      <c r="G159" s="582"/>
      <c r="H159" s="570"/>
      <c r="I159" s="583"/>
      <c r="K159" s="570"/>
      <c r="L159" s="582"/>
      <c r="M159" s="286"/>
      <c r="N159" s="286"/>
      <c r="O159" s="570"/>
    </row>
    <row r="160" spans="2:15">
      <c r="B160" s="571">
        <f t="shared" si="9"/>
        <v>92</v>
      </c>
      <c r="C160" s="572"/>
      <c r="D160" s="495" t="s">
        <v>279</v>
      </c>
      <c r="E160" s="570" t="s">
        <v>188</v>
      </c>
      <c r="F160" s="570"/>
      <c r="G160" s="582">
        <f>+'SWEPCO WS L Other Taxes'!I60</f>
        <v>7318873</v>
      </c>
      <c r="H160" s="582"/>
      <c r="I160" s="583" t="s">
        <v>272</v>
      </c>
      <c r="J160" s="584">
        <f>+L221</f>
        <v>0.11769464301813617</v>
      </c>
      <c r="K160" s="570"/>
      <c r="L160" s="582">
        <f>+J160*G160</f>
        <v>861392.14503007533</v>
      </c>
      <c r="M160" s="286"/>
      <c r="N160" s="286"/>
      <c r="O160" s="570"/>
    </row>
    <row r="161" spans="2:15">
      <c r="B161" s="571">
        <f t="shared" si="9"/>
        <v>93</v>
      </c>
      <c r="C161" s="572"/>
      <c r="D161" s="495" t="s">
        <v>280</v>
      </c>
      <c r="E161" s="570" t="s">
        <v>254</v>
      </c>
      <c r="F161" s="570"/>
      <c r="G161" s="582"/>
      <c r="H161" s="582"/>
      <c r="I161" s="583"/>
      <c r="K161" s="570"/>
      <c r="L161" s="582"/>
      <c r="M161" s="286"/>
      <c r="N161" s="286"/>
      <c r="O161" s="570"/>
    </row>
    <row r="162" spans="2:15">
      <c r="B162" s="571">
        <f t="shared" si="9"/>
        <v>94</v>
      </c>
      <c r="C162" s="572"/>
      <c r="D162" s="495" t="s">
        <v>281</v>
      </c>
      <c r="E162" s="570" t="s">
        <v>189</v>
      </c>
      <c r="F162" s="570"/>
      <c r="G162" s="582">
        <f>+'SWEPCO WS L Other Taxes'!G60</f>
        <v>85856775</v>
      </c>
      <c r="H162" s="582"/>
      <c r="I162" s="583" t="s">
        <v>631</v>
      </c>
      <c r="J162" s="584">
        <f>+J63</f>
        <v>0.24070348547144088</v>
      </c>
      <c r="K162" s="570"/>
      <c r="L162" s="582">
        <f>+G162*J162</f>
        <v>20666024.993837267</v>
      </c>
      <c r="M162" s="286"/>
      <c r="N162" s="286"/>
      <c r="O162" s="570"/>
    </row>
    <row r="163" spans="2:15">
      <c r="B163" s="571">
        <f t="shared" si="9"/>
        <v>95</v>
      </c>
      <c r="C163" s="572"/>
      <c r="D163" s="495" t="s">
        <v>876</v>
      </c>
      <c r="E163" s="570" t="s">
        <v>190</v>
      </c>
      <c r="F163" s="570"/>
      <c r="G163" s="582">
        <f>+'SWEPCO WS L Other Taxes'!M60</f>
        <v>26405034</v>
      </c>
      <c r="H163" s="286"/>
      <c r="I163" s="583" t="s">
        <v>267</v>
      </c>
      <c r="J163" s="584">
        <v>0</v>
      </c>
      <c r="K163" s="570"/>
      <c r="L163" s="2102">
        <f>+J163*G163</f>
        <v>0</v>
      </c>
      <c r="M163" s="286"/>
      <c r="N163" s="286"/>
      <c r="O163" s="570"/>
    </row>
    <row r="164" spans="2:15" ht="16" thickBot="1">
      <c r="B164" s="571">
        <f t="shared" si="9"/>
        <v>96</v>
      </c>
      <c r="C164" s="572"/>
      <c r="D164" s="495" t="s">
        <v>318</v>
      </c>
      <c r="E164" s="570" t="s">
        <v>191</v>
      </c>
      <c r="F164" s="570"/>
      <c r="G164" s="615">
        <f>+'SWEPCO WS L Other Taxes'!K60</f>
        <v>5346676</v>
      </c>
      <c r="H164" s="286"/>
      <c r="I164" s="583" t="s">
        <v>631</v>
      </c>
      <c r="J164" s="584">
        <f>+J63</f>
        <v>0.24070348547144088</v>
      </c>
      <c r="K164" s="570"/>
      <c r="L164" s="615">
        <f>+J164*G164</f>
        <v>1286963.5488865017</v>
      </c>
      <c r="M164" s="286"/>
      <c r="N164" s="286"/>
      <c r="O164" s="570"/>
    </row>
    <row r="165" spans="2:15">
      <c r="B165" s="571">
        <f t="shared" si="9"/>
        <v>97</v>
      </c>
      <c r="C165" s="572"/>
      <c r="D165" s="495" t="s">
        <v>213</v>
      </c>
      <c r="E165" s="580" t="str">
        <f>"(sum lns "&amp;B160&amp;" to "&amp;B164&amp;")"</f>
        <v>(sum lns 92 to 96)</v>
      </c>
      <c r="F165" s="570"/>
      <c r="G165" s="582">
        <f>SUM(G160:G164)</f>
        <v>124927358</v>
      </c>
      <c r="H165" s="570"/>
      <c r="I165" s="583"/>
      <c r="J165" s="643"/>
      <c r="K165" s="570"/>
      <c r="L165" s="582">
        <f>SUM(L160:L164)</f>
        <v>22814380.687753841</v>
      </c>
      <c r="M165" s="286"/>
      <c r="N165" s="286"/>
      <c r="O165" s="570"/>
    </row>
    <row r="166" spans="2:15">
      <c r="B166" s="571"/>
      <c r="C166" s="572"/>
      <c r="D166" s="495"/>
      <c r="E166" s="570"/>
      <c r="F166" s="570"/>
      <c r="G166" s="570"/>
      <c r="H166" s="570"/>
      <c r="I166" s="583"/>
      <c r="J166" s="643"/>
      <c r="K166" s="570"/>
      <c r="L166" s="570"/>
      <c r="M166" s="286"/>
      <c r="N166" s="286"/>
      <c r="O166" s="570"/>
    </row>
    <row r="167" spans="2:15">
      <c r="B167" s="571">
        <f>+B165+1</f>
        <v>98</v>
      </c>
      <c r="C167" s="572"/>
      <c r="D167" s="495" t="s">
        <v>405</v>
      </c>
      <c r="E167" s="570" t="s">
        <v>414</v>
      </c>
      <c r="F167" s="644"/>
      <c r="G167" s="570"/>
      <c r="H167" s="286"/>
      <c r="I167" s="633"/>
      <c r="K167" s="570"/>
      <c r="M167" s="286"/>
      <c r="N167" s="286"/>
      <c r="O167" s="570"/>
    </row>
    <row r="168" spans="2:15">
      <c r="B168" s="571">
        <f t="shared" ref="B168:B175" si="10">+B167+1</f>
        <v>99</v>
      </c>
      <c r="C168" s="572"/>
      <c r="D168" s="645" t="s">
        <v>406</v>
      </c>
      <c r="E168" s="570"/>
      <c r="F168" s="646"/>
      <c r="G168" s="647">
        <f>IF(F299&gt;0,1-(((1-F300)*(1-F299))/(1-F300*F299*F301)),0)</f>
        <v>0.24317999999999995</v>
      </c>
      <c r="H168" s="648"/>
      <c r="I168" s="633"/>
      <c r="J168" s="648"/>
      <c r="K168" s="570"/>
      <c r="M168" s="286"/>
      <c r="N168" s="286"/>
      <c r="O168" s="570"/>
    </row>
    <row r="169" spans="2:15">
      <c r="B169" s="571">
        <f t="shared" si="10"/>
        <v>100</v>
      </c>
      <c r="C169" s="572"/>
      <c r="D169" s="497" t="s">
        <v>407</v>
      </c>
      <c r="E169" s="570"/>
      <c r="F169" s="646"/>
      <c r="G169" s="647">
        <f>IF(L235&gt;0,($G168/(1-$G168))*(1-$L235/$L238),0)</f>
        <v>0.23717037978730923</v>
      </c>
      <c r="H169" s="648"/>
      <c r="I169" s="633"/>
      <c r="K169" s="570"/>
      <c r="M169" s="286"/>
      <c r="N169" s="286"/>
      <c r="O169" s="570"/>
    </row>
    <row r="170" spans="2:15">
      <c r="B170" s="571">
        <f t="shared" si="10"/>
        <v>101</v>
      </c>
      <c r="C170" s="572"/>
      <c r="D170" s="495" t="str">
        <f>"       where WCLTD=(ln "&amp;B235&amp;") and WACC = (ln "&amp;B238&amp;")"</f>
        <v xml:space="preserve">       where WCLTD=(ln 141) and WACC = (ln 144)</v>
      </c>
      <c r="E170" s="570"/>
      <c r="F170" s="644"/>
      <c r="G170" s="570"/>
      <c r="H170" s="286"/>
      <c r="I170" s="633"/>
      <c r="J170" s="649"/>
      <c r="K170" s="570"/>
      <c r="L170" s="650"/>
      <c r="M170" s="286"/>
      <c r="N170" s="286"/>
      <c r="O170" s="570"/>
    </row>
    <row r="171" spans="2:15">
      <c r="B171" s="571">
        <f t="shared" si="10"/>
        <v>102</v>
      </c>
      <c r="C171" s="572"/>
      <c r="D171" s="495" t="s">
        <v>413</v>
      </c>
      <c r="E171" s="651"/>
      <c r="F171" s="646"/>
      <c r="G171" s="570"/>
      <c r="H171" s="286"/>
      <c r="I171" s="633"/>
      <c r="J171" s="649"/>
      <c r="K171" s="570"/>
      <c r="M171" s="286"/>
      <c r="N171" s="286"/>
      <c r="O171" s="570"/>
    </row>
    <row r="172" spans="2:15">
      <c r="B172" s="571">
        <f t="shared" si="10"/>
        <v>103</v>
      </c>
      <c r="C172" s="572"/>
      <c r="D172" s="645" t="str">
        <f>"      GRCF=1 / (1 - T)  = (from ln "&amp;B168&amp;")"</f>
        <v xml:space="preserve">      GRCF=1 / (1 - T)  = (from ln 99)</v>
      </c>
      <c r="E172" s="644"/>
      <c r="F172" s="644"/>
      <c r="G172" s="652">
        <f>IF(G168&gt;0,1/(1-G168),0)</f>
        <v>1.3213181469834305</v>
      </c>
      <c r="H172" s="286"/>
      <c r="I172" s="598"/>
      <c r="J172" s="653"/>
      <c r="K172" s="582"/>
      <c r="L172" s="597"/>
      <c r="M172" s="286"/>
      <c r="N172" s="286"/>
      <c r="O172" s="570"/>
    </row>
    <row r="173" spans="2:15">
      <c r="B173" s="571">
        <f t="shared" si="10"/>
        <v>104</v>
      </c>
      <c r="C173" s="572"/>
      <c r="D173" s="495" t="s">
        <v>408</v>
      </c>
      <c r="E173" s="624" t="s">
        <v>179</v>
      </c>
      <c r="F173" s="644"/>
      <c r="G173" s="1279">
        <v>111663</v>
      </c>
      <c r="H173" s="582"/>
      <c r="I173" s="598"/>
      <c r="J173" s="654"/>
      <c r="K173" s="582"/>
      <c r="M173" s="286"/>
      <c r="N173" s="286"/>
      <c r="O173" s="570"/>
    </row>
    <row r="174" spans="2:15">
      <c r="B174" s="571">
        <f t="shared" si="10"/>
        <v>105</v>
      </c>
      <c r="C174" s="572"/>
      <c r="D174" s="497" t="s">
        <v>503</v>
      </c>
      <c r="E174" s="624" t="str">
        <f xml:space="preserve"> "Company Records (Note O) and WS C-4 Ln "&amp;'SWEPCO WS C-4 Excess FIT'!A53</f>
        <v>Company Records (Note O) and WS C-4 Ln 24</v>
      </c>
      <c r="F174" s="644"/>
      <c r="G174" s="1279">
        <v>-8125751.2749797851</v>
      </c>
      <c r="H174" s="286"/>
      <c r="I174" s="598" t="s">
        <v>269</v>
      </c>
      <c r="J174" s="654"/>
      <c r="K174" s="1280"/>
      <c r="L174" s="1279">
        <f>+'SWEPCO WS C-4 Excess FIT'!D53</f>
        <v>-721332.86034648982</v>
      </c>
      <c r="M174"/>
      <c r="N174" s="286"/>
      <c r="O174" s="570"/>
    </row>
    <row r="175" spans="2:15">
      <c r="B175" s="571">
        <f t="shared" si="10"/>
        <v>106</v>
      </c>
      <c r="C175" s="572"/>
      <c r="D175" s="497" t="s">
        <v>606</v>
      </c>
      <c r="E175" s="624" t="s">
        <v>687</v>
      </c>
      <c r="F175" s="644"/>
      <c r="G175" s="1279">
        <v>2399541.3023865302</v>
      </c>
      <c r="H175" s="286"/>
      <c r="I175" s="598" t="s">
        <v>269</v>
      </c>
      <c r="J175" s="654"/>
      <c r="K175" s="1280"/>
      <c r="L175" s="1279">
        <v>207452.19160476001</v>
      </c>
      <c r="M175" s="286"/>
      <c r="N175" s="286"/>
      <c r="O175" s="570"/>
    </row>
    <row r="176" spans="2:15">
      <c r="B176" s="571"/>
      <c r="C176" s="572"/>
      <c r="D176" s="495"/>
      <c r="E176" s="570"/>
      <c r="F176" s="646"/>
      <c r="G176" s="582"/>
      <c r="H176" s="286"/>
      <c r="I176" s="598"/>
      <c r="J176" s="650"/>
      <c r="K176" s="582"/>
      <c r="M176" s="286"/>
      <c r="N176" s="286"/>
      <c r="O176" s="570"/>
    </row>
    <row r="177" spans="2:15">
      <c r="B177" s="571">
        <f>+B175+1</f>
        <v>107</v>
      </c>
      <c r="C177" s="572"/>
      <c r="D177" s="645" t="s">
        <v>421</v>
      </c>
      <c r="E177" s="655" t="str">
        <f>"(ln "&amp;B169&amp;" * ln "&amp;B184&amp;")"</f>
        <v>(ln 100 * ln 112)</v>
      </c>
      <c r="F177" s="656"/>
      <c r="G177" s="582">
        <f>+G169*G184</f>
        <v>113878262.52316733</v>
      </c>
      <c r="H177" s="286"/>
      <c r="I177" s="598"/>
      <c r="J177" s="650"/>
      <c r="K177" s="582"/>
      <c r="L177" s="582">
        <f>+L184*G169</f>
        <v>30878988.068649407</v>
      </c>
      <c r="M177" s="286"/>
      <c r="N177" s="286"/>
      <c r="O177" s="570"/>
    </row>
    <row r="178" spans="2:15">
      <c r="B178" s="571">
        <f>+B177+1</f>
        <v>108</v>
      </c>
      <c r="C178" s="572"/>
      <c r="D178" s="497" t="s">
        <v>422</v>
      </c>
      <c r="E178" s="655" t="str">
        <f>"(ln "&amp;B172&amp;" * ln "&amp;B173&amp;")"</f>
        <v>(ln 103 * ln 104)</v>
      </c>
      <c r="F178" s="655"/>
      <c r="G178" s="582">
        <f>G172*G173</f>
        <v>147542.34824661081</v>
      </c>
      <c r="H178" s="286"/>
      <c r="I178" s="572" t="s">
        <v>631</v>
      </c>
      <c r="J178" s="584">
        <f>+J63</f>
        <v>0.24070348547144088</v>
      </c>
      <c r="K178" s="582"/>
      <c r="L178" s="582">
        <f>+G178*J178</f>
        <v>35513.957477600357</v>
      </c>
      <c r="M178" s="286"/>
      <c r="N178" s="286"/>
      <c r="O178" s="570"/>
    </row>
    <row r="179" spans="2:15">
      <c r="B179" s="571">
        <f>+B178+1</f>
        <v>109</v>
      </c>
      <c r="C179" s="572"/>
      <c r="D179" s="497" t="s">
        <v>503</v>
      </c>
      <c r="E179" s="655" t="str">
        <f>"(ln "&amp;B172&amp;" * ln "&amp;B174&amp;")"</f>
        <v>(ln 103 * ln 105)</v>
      </c>
      <c r="F179" s="655"/>
      <c r="G179" s="582">
        <f>G172*G174</f>
        <v>-10736702.617504537</v>
      </c>
      <c r="H179" s="286"/>
      <c r="I179" s="598" t="s">
        <v>269</v>
      </c>
      <c r="J179" s="584"/>
      <c r="K179" s="582"/>
      <c r="L179" s="582">
        <f>G172*L174</f>
        <v>-953110.19839128165</v>
      </c>
      <c r="M179" s="286"/>
      <c r="N179" s="286"/>
      <c r="O179" s="570"/>
    </row>
    <row r="180" spans="2:15">
      <c r="B180" s="571">
        <f>+B179+1</f>
        <v>110</v>
      </c>
      <c r="C180" s="572"/>
      <c r="D180" s="497" t="s">
        <v>606</v>
      </c>
      <c r="E180" s="655" t="str">
        <f>"(ln "&amp;B172&amp;" * ln "&amp;B175&amp;")"</f>
        <v>(ln 103 * ln 106)</v>
      </c>
      <c r="F180" s="655"/>
      <c r="G180" s="582">
        <f>G172*G175</f>
        <v>3170557.4672795776</v>
      </c>
      <c r="H180" s="286"/>
      <c r="I180" s="598" t="s">
        <v>269</v>
      </c>
      <c r="J180" s="584"/>
      <c r="K180" s="582"/>
      <c r="L180" s="582">
        <f>G172*L175</f>
        <v>274110.34539885307</v>
      </c>
      <c r="M180" s="286"/>
      <c r="N180" s="286"/>
      <c r="O180" s="570"/>
    </row>
    <row r="181" spans="2:15">
      <c r="B181" s="571"/>
      <c r="C181" s="572"/>
      <c r="E181" s="655"/>
      <c r="F181" s="655"/>
      <c r="G181" s="582"/>
      <c r="H181" s="286"/>
      <c r="I181" s="657"/>
      <c r="J181" s="584"/>
      <c r="K181" s="582"/>
      <c r="L181" s="582"/>
      <c r="M181" s="286"/>
      <c r="N181" s="286"/>
      <c r="O181" s="570"/>
    </row>
    <row r="182" spans="2:15">
      <c r="B182" s="571">
        <f>+B180+1</f>
        <v>111</v>
      </c>
      <c r="C182" s="572"/>
      <c r="D182" s="645" t="s">
        <v>214</v>
      </c>
      <c r="E182" s="570" t="str">
        <f>"(sum lns "&amp;B177&amp;" to "&amp;B180&amp;")"</f>
        <v>(sum lns 107 to 110)</v>
      </c>
      <c r="F182" s="655"/>
      <c r="G182" s="657">
        <f>SUM(G177:G180)</f>
        <v>106459659.72118898</v>
      </c>
      <c r="H182" s="286"/>
      <c r="I182" s="598" t="s">
        <v>254</v>
      </c>
      <c r="J182" s="658"/>
      <c r="K182" s="582"/>
      <c r="L182" s="582">
        <f>SUM(L177:L180)</f>
        <v>30235502.17313458</v>
      </c>
      <c r="M182" s="286"/>
      <c r="N182" s="286"/>
      <c r="O182" s="570"/>
    </row>
    <row r="183" spans="2:15">
      <c r="B183" s="571"/>
      <c r="C183" s="572"/>
      <c r="D183" s="495"/>
      <c r="E183" s="570"/>
      <c r="F183" s="570"/>
      <c r="G183" s="570"/>
      <c r="H183" s="570"/>
      <c r="I183" s="583"/>
      <c r="J183" s="643"/>
      <c r="K183" s="570"/>
      <c r="L183" s="570"/>
      <c r="M183" s="286"/>
      <c r="N183" s="286"/>
      <c r="O183" s="570"/>
    </row>
    <row r="184" spans="2:15">
      <c r="B184" s="571">
        <f>+B182+1</f>
        <v>112</v>
      </c>
      <c r="C184" s="572"/>
      <c r="D184" s="645" t="s">
        <v>335</v>
      </c>
      <c r="E184" s="645" t="str">
        <f>"(ln "&amp;B113&amp;" * ln "&amp;B238&amp;")"</f>
        <v>(ln 63 * ln 144)</v>
      </c>
      <c r="F184" s="628"/>
      <c r="G184" s="582">
        <f>+$L238*G113</f>
        <v>480153814.42358702</v>
      </c>
      <c r="H184" s="570"/>
      <c r="I184" s="598"/>
      <c r="J184" s="582"/>
      <c r="K184" s="582"/>
      <c r="L184" s="582">
        <f>+L238*L113</f>
        <v>130197489.65423596</v>
      </c>
      <c r="M184" s="286"/>
      <c r="N184" s="286"/>
    </row>
    <row r="185" spans="2:15">
      <c r="B185" s="571"/>
      <c r="C185" s="572"/>
      <c r="D185" s="645"/>
      <c r="G185" s="582"/>
      <c r="H185" s="582"/>
      <c r="I185" s="598"/>
      <c r="J185" s="598"/>
      <c r="K185" s="582"/>
      <c r="L185" s="582"/>
      <c r="M185" s="286"/>
      <c r="N185" s="286"/>
    </row>
    <row r="186" spans="2:15">
      <c r="B186" s="571">
        <f>+B184+1</f>
        <v>113</v>
      </c>
      <c r="C186" s="572"/>
      <c r="D186" s="659" t="str">
        <f>"INTEREST ON IPP CONTRIBUTION FOR CONST. (Note E) (Worksheet E, ln "&amp;'SWEPCO WS E IPP Credits'!A12&amp;")"</f>
        <v>INTEREST ON IPP CONTRIBUTION FOR CONST. (Note E) (Worksheet E, ln 2)</v>
      </c>
      <c r="F186" s="642"/>
      <c r="G186" s="2102">
        <f>'SWEPCO WS E IPP Credits'!C12</f>
        <v>0</v>
      </c>
      <c r="H186" s="582"/>
      <c r="I186" s="631" t="s">
        <v>269</v>
      </c>
      <c r="J186" s="584">
        <v>1</v>
      </c>
      <c r="K186" s="614"/>
      <c r="L186" s="2102">
        <f>+J186*G186</f>
        <v>0</v>
      </c>
      <c r="M186" s="286"/>
      <c r="N186" s="286"/>
    </row>
    <row r="187" spans="2:15" ht="16" thickBot="1">
      <c r="B187" s="571"/>
      <c r="C187" s="572"/>
      <c r="D187" s="495"/>
      <c r="G187" s="615"/>
      <c r="H187" s="660"/>
      <c r="I187" s="598"/>
      <c r="J187" s="598"/>
      <c r="K187" s="582"/>
      <c r="L187" s="615"/>
      <c r="M187" s="286"/>
      <c r="N187" s="286"/>
    </row>
    <row r="188" spans="2:15" ht="16" thickBot="1">
      <c r="B188" s="571">
        <f>+B186+1</f>
        <v>114</v>
      </c>
      <c r="C188" s="572"/>
      <c r="D188" s="495" t="s">
        <v>144</v>
      </c>
      <c r="E188" s="661"/>
      <c r="F188" s="661"/>
      <c r="G188" s="632">
        <f>G150+G156+G165+G182+G184+G186</f>
        <v>941829546.49820638</v>
      </c>
      <c r="H188" s="582"/>
      <c r="I188" s="598"/>
      <c r="J188" s="630"/>
      <c r="K188" s="582"/>
      <c r="L188" s="632">
        <f>L150+L156+L165+L182+L184+L186</f>
        <v>307657749.88072556</v>
      </c>
      <c r="M188" s="286"/>
      <c r="N188" s="286"/>
    </row>
    <row r="189" spans="2:15" ht="16" thickTop="1">
      <c r="B189" s="571">
        <f>+B188+1</f>
        <v>115</v>
      </c>
      <c r="C189" s="572"/>
      <c r="D189" s="495" t="str">
        <f>"    (sum lns "&amp;B150&amp;", "&amp;B156&amp;", "&amp;B165&amp;", "&amp;B182&amp;", "&amp;B184&amp;", "&amp;B186&amp;")"</f>
        <v xml:space="preserve">    (sum lns 84, 89, 97, 111, 112, 113)</v>
      </c>
      <c r="E189" s="661"/>
      <c r="F189" s="661"/>
      <c r="G189" s="582"/>
      <c r="H189" s="582"/>
      <c r="I189" s="582"/>
      <c r="J189" s="630"/>
      <c r="K189" s="582"/>
      <c r="L189" s="582"/>
      <c r="M189" s="286"/>
      <c r="N189" s="286"/>
    </row>
    <row r="190" spans="2:15">
      <c r="B190" s="571"/>
      <c r="C190" s="572"/>
      <c r="D190" s="495"/>
      <c r="E190" s="661"/>
      <c r="F190" s="661"/>
      <c r="G190" s="582"/>
      <c r="H190" s="582"/>
      <c r="I190" s="582"/>
      <c r="J190" s="630"/>
      <c r="K190" s="582"/>
      <c r="L190" s="582"/>
      <c r="M190" s="286"/>
      <c r="N190" s="286"/>
    </row>
    <row r="191" spans="2:15">
      <c r="B191" s="571">
        <f>+B189+1</f>
        <v>116</v>
      </c>
      <c r="C191" s="572"/>
      <c r="D191" s="495" t="s">
        <v>412</v>
      </c>
      <c r="F191" s="661"/>
      <c r="G191" s="595">
        <f>+'SWEPCO WS K State Taxes'!I48</f>
        <v>419815.96733222116</v>
      </c>
      <c r="H191" s="582"/>
      <c r="I191" s="598" t="s">
        <v>269</v>
      </c>
      <c r="J191" s="630"/>
      <c r="K191" s="582"/>
      <c r="L191" s="595">
        <f>+'SWEPCO WS K State Taxes'!K48</f>
        <v>137137.54269927507</v>
      </c>
      <c r="M191" s="286"/>
      <c r="N191" s="286"/>
    </row>
    <row r="192" spans="2:15">
      <c r="B192" s="571"/>
      <c r="C192" s="286"/>
      <c r="D192" s="286"/>
      <c r="E192" s="286"/>
      <c r="F192" s="286"/>
      <c r="G192" s="286"/>
      <c r="H192" s="286"/>
      <c r="I192" s="505"/>
      <c r="J192" s="619"/>
      <c r="K192" s="505"/>
      <c r="M192" s="286"/>
      <c r="N192" s="286"/>
    </row>
    <row r="193" spans="2:16" ht="16" thickBot="1">
      <c r="B193" s="571">
        <f>+B191+1</f>
        <v>117</v>
      </c>
      <c r="C193" s="572"/>
      <c r="D193" s="497" t="s">
        <v>676</v>
      </c>
      <c r="E193" s="570" t="str">
        <f>"(ln "&amp;B188&amp;" + "&amp;B191&amp;")"</f>
        <v>(ln 114 + 116)</v>
      </c>
      <c r="G193" s="662">
        <f>+G188+G191</f>
        <v>942249362.46553862</v>
      </c>
      <c r="J193" s="630"/>
      <c r="L193" s="662">
        <f>+L188+L191</f>
        <v>307794887.42342484</v>
      </c>
      <c r="M193" s="286"/>
      <c r="N193" s="286"/>
    </row>
    <row r="194" spans="2:16" ht="16" thickTop="1">
      <c r="B194" s="571"/>
      <c r="C194" s="572"/>
      <c r="D194" s="495"/>
      <c r="F194" s="579"/>
      <c r="M194" s="286"/>
      <c r="N194" s="286"/>
    </row>
    <row r="195" spans="2:16">
      <c r="B195" s="571"/>
      <c r="C195" s="572"/>
      <c r="F195" s="579"/>
      <c r="M195" s="286"/>
      <c r="N195" s="286"/>
    </row>
    <row r="196" spans="2:16">
      <c r="B196" s="571"/>
      <c r="C196" s="572"/>
      <c r="D196" s="495"/>
      <c r="F196" s="633" t="str">
        <f>F116</f>
        <v xml:space="preserve">AEP West SPP Member Operating Companies </v>
      </c>
      <c r="M196" s="286"/>
      <c r="N196" s="286"/>
    </row>
    <row r="197" spans="2:16">
      <c r="B197" s="571"/>
      <c r="C197" s="572"/>
      <c r="D197" s="495"/>
      <c r="F197" s="633" t="str">
        <f>F117</f>
        <v>Transmission Cost of Service Formula Rate</v>
      </c>
      <c r="M197" s="286"/>
      <c r="N197" s="286"/>
    </row>
    <row r="198" spans="2:16">
      <c r="B198" s="497"/>
      <c r="C198" s="572"/>
      <c r="F198" s="633" t="str">
        <f>F118</f>
        <v>Utilizing Actual / Projected Cost Data for the 2024 Rate Year</v>
      </c>
      <c r="M198" s="286"/>
      <c r="N198" s="286"/>
    </row>
    <row r="199" spans="2:16">
      <c r="B199" s="571"/>
      <c r="C199" s="572"/>
      <c r="E199" s="633"/>
      <c r="F199" s="633"/>
      <c r="G199" s="633"/>
      <c r="H199" s="633"/>
      <c r="I199" s="633"/>
      <c r="J199" s="633"/>
      <c r="K199" s="633"/>
      <c r="M199" s="286"/>
      <c r="N199" s="286"/>
    </row>
    <row r="200" spans="2:16">
      <c r="B200" s="571"/>
      <c r="C200" s="572"/>
      <c r="E200" s="495"/>
      <c r="F200" s="633" t="str">
        <f>F120</f>
        <v>SOUTHWESTERN ELECTRIC POWER COMPANY</v>
      </c>
      <c r="G200" s="495"/>
      <c r="H200" s="495"/>
      <c r="I200" s="495"/>
      <c r="J200" s="495"/>
      <c r="K200" s="495"/>
      <c r="L200" s="495"/>
      <c r="M200" s="286"/>
      <c r="N200" s="286"/>
    </row>
    <row r="201" spans="2:16">
      <c r="B201" s="571"/>
      <c r="C201" s="572"/>
      <c r="E201" s="495"/>
      <c r="F201" s="633"/>
      <c r="G201" s="582"/>
      <c r="H201" s="495"/>
      <c r="I201" s="495"/>
      <c r="J201" s="495"/>
      <c r="K201" s="495"/>
      <c r="L201" s="582"/>
      <c r="M201" s="286"/>
      <c r="N201" s="286"/>
    </row>
    <row r="202" spans="2:16">
      <c r="B202" s="571"/>
      <c r="C202" s="572"/>
      <c r="F202" s="634" t="s">
        <v>218</v>
      </c>
      <c r="H202" s="495"/>
      <c r="I202" s="495"/>
      <c r="J202" s="495"/>
      <c r="K202" s="495"/>
      <c r="L202" s="495"/>
      <c r="M202" s="286"/>
      <c r="N202" s="286"/>
    </row>
    <row r="203" spans="2:16">
      <c r="B203" s="571"/>
      <c r="C203" s="572"/>
      <c r="D203" s="663"/>
      <c r="E203" s="495"/>
      <c r="F203" s="495"/>
      <c r="G203" s="495"/>
      <c r="H203" s="495"/>
      <c r="I203" s="495"/>
      <c r="J203" s="495"/>
      <c r="K203" s="495"/>
      <c r="L203" s="495"/>
      <c r="M203" s="286"/>
      <c r="N203" s="286"/>
    </row>
    <row r="204" spans="2:16">
      <c r="B204" s="571" t="s">
        <v>256</v>
      </c>
      <c r="C204" s="572"/>
      <c r="D204" s="663"/>
      <c r="E204" s="495"/>
      <c r="F204" s="495"/>
      <c r="G204" s="495"/>
      <c r="H204" s="495"/>
      <c r="I204" s="495"/>
      <c r="J204" s="495"/>
      <c r="K204" s="495"/>
      <c r="L204" s="495"/>
      <c r="M204" s="286"/>
      <c r="N204" s="286"/>
    </row>
    <row r="205" spans="2:16" ht="16" thickBot="1">
      <c r="B205" s="577" t="s">
        <v>257</v>
      </c>
      <c r="C205" s="572"/>
      <c r="D205" s="495" t="s">
        <v>963</v>
      </c>
      <c r="E205" s="495"/>
      <c r="F205" s="495"/>
      <c r="G205" s="495"/>
      <c r="H205" s="495"/>
      <c r="I205" s="495"/>
      <c r="J205" s="495"/>
      <c r="M205" s="286"/>
      <c r="N205" s="286"/>
      <c r="P205" s="286"/>
    </row>
    <row r="206" spans="2:16">
      <c r="B206" s="571">
        <f>+B193+1</f>
        <v>118</v>
      </c>
      <c r="C206" s="572"/>
      <c r="D206" s="495" t="s">
        <v>305</v>
      </c>
      <c r="E206" s="664" t="str">
        <f>"(ln "&amp;B56&amp;")"</f>
        <v>(ln 16)</v>
      </c>
      <c r="F206" s="495"/>
      <c r="H206" s="570"/>
      <c r="I206" s="570"/>
      <c r="J206" s="570"/>
      <c r="K206" s="570"/>
      <c r="L206" s="582">
        <f>+G56</f>
        <v>2739528174.0769229</v>
      </c>
      <c r="M206" s="286"/>
      <c r="N206" s="286"/>
      <c r="P206" s="286"/>
    </row>
    <row r="207" spans="2:16">
      <c r="B207" s="571">
        <f>+B206+1</f>
        <v>119</v>
      </c>
      <c r="C207" s="572"/>
      <c r="D207" s="665" t="str">
        <f>"  Less transmission plant excluded from SPP Tariff  (Worksheet A-1, ln "&amp;'SWEPCO WS A-1 - Plant'!A44&amp;" Col. (F))  (Note Q)"</f>
        <v xml:space="preserve">  Less transmission plant excluded from SPP Tariff  (Worksheet A-1, ln 28 Col. (F))  (Note Q)</v>
      </c>
      <c r="G207" s="633"/>
      <c r="L207" s="595">
        <f>+'SWEPCO WS A-1 - Plant'!G44</f>
        <v>70130122.536923066</v>
      </c>
      <c r="M207" s="286"/>
      <c r="N207" s="286"/>
      <c r="P207" s="286"/>
    </row>
    <row r="208" spans="2:16" ht="16" thickBot="1">
      <c r="B208" s="571">
        <f>+B207+1</f>
        <v>120</v>
      </c>
      <c r="C208" s="572"/>
      <c r="D208" s="495" t="str">
        <f>"  Less transmission plant included in OATT Ancillary Services (Worksheet A-1, ln "&amp;'SWEPCO WS A-1 - Plant'!A44&amp;", Col. (E))  (Note R)"</f>
        <v xml:space="preserve">  Less transmission plant included in OATT Ancillary Services (Worksheet A-1, ln 28, Col. (E))  (Note R)</v>
      </c>
      <c r="E208" s="495"/>
      <c r="F208" s="495"/>
      <c r="G208" s="583"/>
      <c r="H208" s="570"/>
      <c r="I208" s="570"/>
      <c r="J208" s="583"/>
      <c r="K208" s="570"/>
      <c r="L208" s="666">
        <f>+'SWEPCO WS A-1 - Plant'!F44</f>
        <v>45498797.230769232</v>
      </c>
      <c r="M208" s="286"/>
      <c r="N208" s="286"/>
      <c r="P208" s="286"/>
    </row>
    <row r="209" spans="2:16">
      <c r="B209" s="571">
        <f>+B208+1</f>
        <v>121</v>
      </c>
      <c r="C209" s="572"/>
      <c r="D209" s="495" t="s">
        <v>85</v>
      </c>
      <c r="E209" s="580" t="str">
        <f>"(ln "&amp;B206&amp;" - ln "&amp;B207&amp;" - ln "&amp;B208&amp;")"</f>
        <v>(ln 118 - ln 119 - ln 120)</v>
      </c>
      <c r="F209" s="495"/>
      <c r="H209" s="570"/>
      <c r="I209" s="570"/>
      <c r="J209" s="583"/>
      <c r="K209" s="570"/>
      <c r="L209" s="582">
        <f>L206-L207-L208</f>
        <v>2623899254.3092308</v>
      </c>
      <c r="M209" s="286"/>
      <c r="N209" s="286"/>
      <c r="P209" s="286"/>
    </row>
    <row r="210" spans="2:16">
      <c r="B210" s="571"/>
      <c r="C210" s="572"/>
      <c r="E210" s="495"/>
      <c r="F210" s="495"/>
      <c r="G210" s="583"/>
      <c r="H210" s="570"/>
      <c r="I210" s="570"/>
      <c r="J210" s="583"/>
      <c r="K210" s="570"/>
      <c r="M210" s="286"/>
      <c r="N210" s="286"/>
      <c r="P210" s="286"/>
    </row>
    <row r="211" spans="2:16">
      <c r="B211" s="571">
        <f>+B209+1</f>
        <v>122</v>
      </c>
      <c r="C211" s="572"/>
      <c r="D211" s="495" t="s">
        <v>86</v>
      </c>
      <c r="E211" s="579" t="str">
        <f>"(ln "&amp;B209&amp;" / ln "&amp;B206&amp;")"</f>
        <v>(ln 121 / ln 118)</v>
      </c>
      <c r="F211" s="575"/>
      <c r="H211" s="575"/>
      <c r="I211" s="573"/>
      <c r="J211" s="573"/>
      <c r="K211" s="606" t="s">
        <v>282</v>
      </c>
      <c r="L211" s="667">
        <f>IF(L206&gt;0,L209/L206,0)</f>
        <v>0.95779239620097978</v>
      </c>
      <c r="M211" s="286"/>
      <c r="N211" s="286"/>
      <c r="P211" s="286"/>
    </row>
    <row r="212" spans="2:16">
      <c r="B212" s="571"/>
      <c r="C212" s="572"/>
      <c r="D212" s="663"/>
      <c r="E212" s="495"/>
      <c r="F212" s="582"/>
      <c r="G212" s="570"/>
      <c r="H212" s="495"/>
      <c r="I212" s="572"/>
      <c r="J212" s="495"/>
      <c r="K212" s="495"/>
      <c r="L212" s="495"/>
      <c r="M212" s="286"/>
      <c r="N212" s="286"/>
    </row>
    <row r="213" spans="2:16" ht="31">
      <c r="B213" s="571">
        <f>B211+1</f>
        <v>123</v>
      </c>
      <c r="C213" s="572"/>
      <c r="D213" s="495" t="s">
        <v>219</v>
      </c>
      <c r="E213" s="583" t="s">
        <v>56</v>
      </c>
      <c r="F213" s="583" t="s">
        <v>321</v>
      </c>
      <c r="G213" s="1823" t="s">
        <v>353</v>
      </c>
      <c r="H213" s="633" t="s">
        <v>258</v>
      </c>
      <c r="I213" s="583"/>
      <c r="J213" s="570"/>
      <c r="K213" s="570"/>
      <c r="L213" s="570"/>
      <c r="M213" s="286"/>
      <c r="N213" s="286"/>
    </row>
    <row r="214" spans="2:16">
      <c r="B214" s="571">
        <f t="shared" ref="B214:B219" si="11">+B213+1</f>
        <v>124</v>
      </c>
      <c r="C214" s="572"/>
      <c r="D214" s="495" t="s">
        <v>266</v>
      </c>
      <c r="E214" s="570" t="s">
        <v>59</v>
      </c>
      <c r="F214" s="1279">
        <v>41262023</v>
      </c>
      <c r="G214" s="1279">
        <v>11938310</v>
      </c>
      <c r="H214" s="595">
        <f>+F214+G214</f>
        <v>53200333</v>
      </c>
      <c r="I214" s="583" t="s">
        <v>267</v>
      </c>
      <c r="J214" s="584">
        <v>0</v>
      </c>
      <c r="K214" s="668"/>
      <c r="L214" s="2102">
        <f>(F214+G214)*J214</f>
        <v>0</v>
      </c>
      <c r="M214" s="286"/>
      <c r="N214" s="286"/>
    </row>
    <row r="215" spans="2:16">
      <c r="B215" s="571">
        <f>+B214+1</f>
        <v>125</v>
      </c>
      <c r="C215" s="572"/>
      <c r="D215" s="495" t="s">
        <v>268</v>
      </c>
      <c r="E215" s="570" t="s">
        <v>147</v>
      </c>
      <c r="F215" s="1279">
        <v>5593503</v>
      </c>
      <c r="G215" s="1279">
        <v>9368063</v>
      </c>
      <c r="H215" s="595">
        <f>+F215+G215</f>
        <v>14961566</v>
      </c>
      <c r="I215" s="572" t="s">
        <v>260</v>
      </c>
      <c r="J215" s="584">
        <f>+L211</f>
        <v>0.95779239620097978</v>
      </c>
      <c r="L215" s="2102">
        <f>(F215+G215)*J215</f>
        <v>14330074.150059108</v>
      </c>
      <c r="M215" s="286"/>
      <c r="N215" s="286"/>
    </row>
    <row r="216" spans="2:16">
      <c r="B216" s="571">
        <f>+B215+1</f>
        <v>126</v>
      </c>
      <c r="C216" s="572"/>
      <c r="D216" s="495" t="s">
        <v>145</v>
      </c>
      <c r="E216" s="570" t="s">
        <v>146</v>
      </c>
      <c r="F216" s="2139">
        <v>0</v>
      </c>
      <c r="G216" s="2139">
        <v>0</v>
      </c>
      <c r="H216" s="2101">
        <f>+F216+G216</f>
        <v>0</v>
      </c>
      <c r="I216" s="583" t="s">
        <v>267</v>
      </c>
      <c r="J216" s="584">
        <v>0</v>
      </c>
      <c r="K216" s="668"/>
      <c r="L216" s="2102">
        <f>(F216+G216)*J216</f>
        <v>0</v>
      </c>
      <c r="M216" s="286"/>
      <c r="N216" s="286"/>
    </row>
    <row r="217" spans="2:16">
      <c r="B217" s="571">
        <f t="shared" si="11"/>
        <v>127</v>
      </c>
      <c r="C217" s="572"/>
      <c r="D217" s="495" t="s">
        <v>270</v>
      </c>
      <c r="E217" s="570" t="s">
        <v>57</v>
      </c>
      <c r="F217" s="1279">
        <v>37569760</v>
      </c>
      <c r="G217" s="1279">
        <v>2459259</v>
      </c>
      <c r="H217" s="595">
        <f>+F217+G217</f>
        <v>40029019</v>
      </c>
      <c r="I217" s="583" t="s">
        <v>267</v>
      </c>
      <c r="J217" s="584">
        <v>0</v>
      </c>
      <c r="K217" s="668"/>
      <c r="L217" s="2102">
        <f>(F217+G217)*J217</f>
        <v>0</v>
      </c>
      <c r="M217" s="286"/>
      <c r="N217" s="286"/>
    </row>
    <row r="218" spans="2:16" ht="16" thickBot="1">
      <c r="B218" s="571">
        <f t="shared" si="11"/>
        <v>128</v>
      </c>
      <c r="C218" s="572"/>
      <c r="D218" s="495" t="s">
        <v>336</v>
      </c>
      <c r="E218" s="570" t="s">
        <v>58</v>
      </c>
      <c r="F218" s="1810">
        <v>6813322</v>
      </c>
      <c r="G218" s="1279">
        <v>6752144</v>
      </c>
      <c r="H218" s="666">
        <f>+F218+G218</f>
        <v>13565466</v>
      </c>
      <c r="I218" s="583" t="s">
        <v>267</v>
      </c>
      <c r="J218" s="584">
        <v>0</v>
      </c>
      <c r="K218" s="668"/>
      <c r="L218" s="2103">
        <f>(F218+G218)*J218</f>
        <v>0</v>
      </c>
      <c r="M218" s="286"/>
      <c r="N218" s="286"/>
    </row>
    <row r="219" spans="2:16">
      <c r="B219" s="571">
        <f t="shared" si="11"/>
        <v>129</v>
      </c>
      <c r="C219" s="572"/>
      <c r="D219" s="495" t="s">
        <v>258</v>
      </c>
      <c r="E219" s="495" t="str">
        <f>"(sum lns "&amp;B214&amp;" to "&amp;B218&amp;")"</f>
        <v>(sum lns 124 to 128)</v>
      </c>
      <c r="F219" s="640">
        <f>SUM(F214:F218)</f>
        <v>91238608</v>
      </c>
      <c r="G219" s="640">
        <f>SUM(G214:G218)</f>
        <v>30517776</v>
      </c>
      <c r="H219" s="570">
        <f>SUM(H214:H218)</f>
        <v>121756384</v>
      </c>
      <c r="I219" s="583"/>
      <c r="J219" s="570"/>
      <c r="K219" s="570"/>
      <c r="L219" s="582">
        <f>SUM(L214:L218)</f>
        <v>14330074.150059108</v>
      </c>
      <c r="M219" s="286"/>
      <c r="N219" s="286"/>
    </row>
    <row r="220" spans="2:16">
      <c r="B220" s="571"/>
      <c r="C220" s="572"/>
      <c r="D220" s="495" t="s">
        <v>254</v>
      </c>
      <c r="E220" s="570" t="s">
        <v>254</v>
      </c>
      <c r="F220" s="570"/>
      <c r="H220" s="570"/>
      <c r="I220" s="633"/>
      <c r="M220" s="286"/>
      <c r="N220" s="286"/>
    </row>
    <row r="221" spans="2:16">
      <c r="B221" s="571">
        <f>B219+1</f>
        <v>130</v>
      </c>
      <c r="C221" s="572"/>
      <c r="D221" s="495" t="s">
        <v>220</v>
      </c>
      <c r="E221" s="570"/>
      <c r="F221" s="570"/>
      <c r="G221" s="570"/>
      <c r="H221" s="570"/>
      <c r="I221" s="633"/>
      <c r="K221" s="618" t="s">
        <v>221</v>
      </c>
      <c r="L221" s="616">
        <f>IF(H219&lt;&gt;0,L219/(F219+G219),0)</f>
        <v>0.11769464301813617</v>
      </c>
      <c r="M221" s="286"/>
      <c r="N221" s="286"/>
    </row>
    <row r="222" spans="2:16">
      <c r="B222" s="571"/>
      <c r="C222" s="572"/>
      <c r="D222" s="495"/>
      <c r="E222" s="570"/>
      <c r="F222" s="570"/>
      <c r="G222" s="570"/>
      <c r="H222" s="570"/>
      <c r="I222" s="583"/>
      <c r="J222" s="570"/>
      <c r="K222" s="570"/>
      <c r="L222" s="570"/>
      <c r="M222" s="286"/>
      <c r="N222" s="286"/>
    </row>
    <row r="223" spans="2:16">
      <c r="B223" s="571"/>
      <c r="C223" s="572"/>
      <c r="D223" s="495"/>
      <c r="E223" s="579"/>
      <c r="F223" s="570"/>
      <c r="H223" s="570"/>
      <c r="I223" s="570"/>
      <c r="J223" s="570"/>
      <c r="K223" s="606"/>
      <c r="L223" s="669"/>
      <c r="M223" s="286"/>
      <c r="N223" s="286"/>
    </row>
    <row r="224" spans="2:16" ht="16" thickBot="1">
      <c r="B224" s="571">
        <f>+B221+1</f>
        <v>131</v>
      </c>
      <c r="C224" s="572"/>
      <c r="D224" s="495" t="s">
        <v>964</v>
      </c>
      <c r="E224" s="570"/>
      <c r="F224" s="570"/>
      <c r="G224" s="570"/>
      <c r="H224" s="570"/>
      <c r="I224" s="570"/>
      <c r="J224" s="570"/>
      <c r="K224" s="570"/>
      <c r="L224" s="670" t="s">
        <v>283</v>
      </c>
      <c r="M224" s="286"/>
      <c r="N224" s="286"/>
    </row>
    <row r="225" spans="2:21">
      <c r="B225" s="571">
        <f t="shared" ref="B225:B232" si="12">+B224+1</f>
        <v>132</v>
      </c>
      <c r="C225" s="572"/>
      <c r="D225" s="570" t="s">
        <v>356</v>
      </c>
      <c r="E225" s="497" t="str">
        <f>"Long Term Interest (Worksheet M, ln. "&amp;'SWEPCO WS M - Cost of Capital'!A58&amp;", col. "&amp;'SWEPCO WS M - Cost of Capital'!E48&amp;")"</f>
        <v>Long Term Interest (Worksheet M, ln. 37, col. (d))</v>
      </c>
      <c r="F225" s="570"/>
      <c r="G225" s="570"/>
      <c r="H225" s="570"/>
      <c r="I225" s="570"/>
      <c r="J225" s="570"/>
      <c r="K225" s="570"/>
      <c r="L225" s="582">
        <f>+'SWEPCO WS M - Cost of Capital'!E58</f>
        <v>140159854.53</v>
      </c>
      <c r="M225" s="286"/>
      <c r="N225" s="286"/>
    </row>
    <row r="226" spans="2:21">
      <c r="B226" s="571">
        <f t="shared" si="12"/>
        <v>133</v>
      </c>
      <c r="C226" s="572"/>
      <c r="D226" s="570" t="s">
        <v>357</v>
      </c>
      <c r="E226" s="497" t="str">
        <f>"Preferred Stock Dividends (Worksheet M, ln. "&amp;'SWEPCO WS M - Cost of Capital'!A87&amp;", col. "&amp;'SWEPCO WS M - Cost of Capital'!E48&amp;")"</f>
        <v>Preferred Stock Dividends (Worksheet M, ln. 57, col. (d))</v>
      </c>
      <c r="F226" s="570"/>
      <c r="G226" s="570"/>
      <c r="H226" s="570"/>
      <c r="I226" s="570"/>
      <c r="J226" s="570"/>
      <c r="K226" s="570"/>
      <c r="L226" s="2102">
        <f>+'SWEPCO WS M - Cost of Capital'!E87</f>
        <v>0</v>
      </c>
      <c r="M226" s="286"/>
      <c r="N226" s="286"/>
    </row>
    <row r="227" spans="2:21" ht="16" thickBot="1">
      <c r="B227" s="571">
        <f t="shared" si="12"/>
        <v>134</v>
      </c>
      <c r="C227" s="572"/>
      <c r="D227" s="671" t="s">
        <v>363</v>
      </c>
      <c r="E227" s="570"/>
      <c r="F227" s="570"/>
      <c r="G227" s="570"/>
      <c r="H227" s="286"/>
      <c r="I227" s="286"/>
      <c r="J227" s="286"/>
      <c r="K227" s="570"/>
      <c r="L227" s="672" t="s">
        <v>180</v>
      </c>
      <c r="M227" s="286"/>
      <c r="N227" s="286"/>
    </row>
    <row r="228" spans="2:21">
      <c r="B228" s="571">
        <f t="shared" si="12"/>
        <v>135</v>
      </c>
      <c r="C228" s="572"/>
      <c r="D228" s="570" t="s">
        <v>364</v>
      </c>
      <c r="E228" s="497" t="str">
        <f>"(Worksheet M, ln. "&amp;'SWEPCO WS M - Cost of Capital'!A24&amp;", col. "&amp;'SWEPCO WS M - Cost of Capital'!C9&amp;")"</f>
        <v>(Worksheet M, ln. 14, col. (b))</v>
      </c>
      <c r="F228" s="570"/>
      <c r="G228" s="495"/>
      <c r="H228" s="286"/>
      <c r="I228" s="286"/>
      <c r="J228" s="286"/>
      <c r="K228" s="570"/>
      <c r="L228" s="595">
        <f>+'SWEPCO WS M - Cost of Capital'!C24</f>
        <v>3806561591.216692</v>
      </c>
      <c r="M228" s="286"/>
      <c r="N228" s="286"/>
    </row>
    <row r="229" spans="2:21">
      <c r="B229" s="571">
        <f t="shared" si="12"/>
        <v>136</v>
      </c>
      <c r="C229" s="572"/>
      <c r="D229" s="570" t="str">
        <f>"Less Preferred Stock (ln "&amp;B236&amp;")"</f>
        <v>Less Preferred Stock (ln 142)</v>
      </c>
      <c r="E229" s="497" t="str">
        <f>"(Worksheet M, ln. "&amp;'SWEPCO WS M - Cost of Capital'!A24&amp;", col. "&amp;'SWEPCO WS M - Cost of Capital'!D9&amp;")"</f>
        <v>(Worksheet M, ln. 14, col. (c))</v>
      </c>
      <c r="F229" s="570"/>
      <c r="G229" s="570"/>
      <c r="H229" s="286"/>
      <c r="I229" s="286"/>
      <c r="J229" s="286"/>
      <c r="K229" s="570"/>
      <c r="L229" s="2101">
        <f>+'SWEPCO WS M - Cost of Capital'!D24</f>
        <v>0</v>
      </c>
      <c r="M229" s="286"/>
      <c r="N229" s="286"/>
    </row>
    <row r="230" spans="2:21">
      <c r="B230" s="571">
        <f t="shared" si="12"/>
        <v>137</v>
      </c>
      <c r="C230" s="572"/>
      <c r="D230" s="570" t="s">
        <v>52</v>
      </c>
      <c r="E230" s="497" t="str">
        <f>"(Worksheet M, ln. "&amp;'SWEPCO WS M - Cost of Capital'!A24&amp;", col. "&amp;'SWEPCO WS M - Cost of Capital'!E9&amp;")"</f>
        <v>(Worksheet M, ln. 14, col. (d))</v>
      </c>
      <c r="F230" s="570"/>
      <c r="G230" s="570"/>
      <c r="H230" s="286"/>
      <c r="I230" s="286"/>
      <c r="J230" s="286"/>
      <c r="K230" s="570"/>
      <c r="L230" s="595">
        <f>+'SWEPCO WS M - Cost of Capital'!E24</f>
        <v>47456028.36753846</v>
      </c>
      <c r="M230" s="286"/>
      <c r="N230" s="286"/>
    </row>
    <row r="231" spans="2:21" ht="16" thickBot="1">
      <c r="B231" s="571">
        <f t="shared" si="12"/>
        <v>138</v>
      </c>
      <c r="C231" s="572"/>
      <c r="D231" s="570" t="s">
        <v>365</v>
      </c>
      <c r="E231" s="497" t="str">
        <f>"(Worksheet M, ln. "&amp;'SWEPCO WS M - Cost of Capital'!A24&amp;", col. "&amp;'SWEPCO WS M - Cost of Capital'!F9&amp;")"</f>
        <v>(Worksheet M, ln. 14, col. (e))</v>
      </c>
      <c r="F231" s="570"/>
      <c r="G231" s="570"/>
      <c r="H231" s="286"/>
      <c r="I231" s="286"/>
      <c r="J231" s="286"/>
      <c r="K231" s="570"/>
      <c r="L231" s="666">
        <f>+'SWEPCO WS M - Cost of Capital'!F24</f>
        <v>-3183770.5415384611</v>
      </c>
      <c r="M231" s="286"/>
      <c r="N231" s="286"/>
    </row>
    <row r="232" spans="2:21">
      <c r="B232" s="571">
        <f t="shared" si="12"/>
        <v>139</v>
      </c>
      <c r="C232" s="572"/>
      <c r="D232" s="497" t="s">
        <v>366</v>
      </c>
      <c r="E232" s="570" t="str">
        <f>"(ln "&amp;B228&amp;" - ln "&amp;B229&amp;" - ln "&amp;B230&amp;" - ln "&amp;B231&amp;")"</f>
        <v>(ln 135 - ln 136 - ln 137 - ln 138)</v>
      </c>
      <c r="F232" s="579"/>
      <c r="H232" s="495"/>
      <c r="I232" s="495"/>
      <c r="J232" s="495"/>
      <c r="K232" s="495"/>
      <c r="L232" s="582">
        <f>+L228-L229-L230-L231</f>
        <v>3762289333.3906918</v>
      </c>
      <c r="M232" s="286"/>
      <c r="N232" s="286"/>
    </row>
    <row r="233" spans="2:21" ht="52.5" customHeight="1">
      <c r="B233" s="571"/>
      <c r="C233" s="572"/>
      <c r="D233" s="495"/>
      <c r="E233" s="570"/>
      <c r="F233" s="570"/>
      <c r="G233" s="673" t="s">
        <v>420</v>
      </c>
      <c r="H233" s="286"/>
      <c r="I233" s="570"/>
      <c r="J233" s="583" t="s">
        <v>284</v>
      </c>
      <c r="K233" s="570"/>
      <c r="L233" s="570"/>
      <c r="M233" s="286"/>
      <c r="N233" s="286"/>
    </row>
    <row r="234" spans="2:21" ht="16" thickBot="1">
      <c r="B234" s="571">
        <f>+B232+1</f>
        <v>140</v>
      </c>
      <c r="C234" s="572"/>
      <c r="D234" s="495"/>
      <c r="E234" s="578" t="s">
        <v>419</v>
      </c>
      <c r="G234" s="674"/>
      <c r="H234" s="286"/>
      <c r="I234" s="570"/>
      <c r="J234" s="578" t="s">
        <v>411</v>
      </c>
      <c r="K234" s="570"/>
      <c r="L234" s="578" t="s">
        <v>286</v>
      </c>
      <c r="M234" s="286"/>
      <c r="N234" s="286"/>
      <c r="O234" s="495"/>
      <c r="P234" s="495"/>
      <c r="Q234" s="495"/>
      <c r="R234" s="495"/>
      <c r="S234" s="495"/>
      <c r="T234" s="495"/>
      <c r="U234" s="495"/>
    </row>
    <row r="235" spans="2:21">
      <c r="B235" s="571">
        <f>+B234+1</f>
        <v>141</v>
      </c>
      <c r="C235" s="572"/>
      <c r="D235" s="570" t="str">
        <f>"Avg Long Term Debt (Worksheet M, ln. "&amp;'SWEPCO WS M - Cost of Capital'!A43&amp;", col. (g))"</f>
        <v>Avg Long Term Debt (Worksheet M, ln. 28, col. (g))</v>
      </c>
      <c r="E235" s="582">
        <f>+'SWEPCO WS M - Cost of Capital'!H43</f>
        <v>3675000000</v>
      </c>
      <c r="G235" s="593">
        <f>IF($E$238&gt;0,E235/$E$238,0)</f>
        <v>0.49413164329920617</v>
      </c>
      <c r="H235" s="286"/>
      <c r="I235" s="675"/>
      <c r="J235" s="594">
        <f>+'SWEPCO WS M - Cost of Capital'!E60</f>
        <v>3.8138735926530609E-2</v>
      </c>
      <c r="L235" s="675">
        <f>J235*G235</f>
        <v>1.8845556256731042E-2</v>
      </c>
      <c r="M235" s="286"/>
      <c r="N235" s="286"/>
      <c r="O235" s="495"/>
      <c r="P235" s="495"/>
      <c r="Q235" s="495"/>
      <c r="R235" s="495"/>
      <c r="S235" s="495"/>
      <c r="T235" s="495"/>
      <c r="U235" s="495"/>
    </row>
    <row r="236" spans="2:21">
      <c r="B236" s="571">
        <f>+B235+1</f>
        <v>142</v>
      </c>
      <c r="C236" s="572"/>
      <c r="D236" s="570" t="str">
        <f>"Avg Preferred Stock (Worksheet M, ln. "&amp;'SWEPCO WS M - Cost of Capital'!A24&amp;", col. "&amp;'SWEPCO WS M - Cost of Capital'!D9&amp;")"</f>
        <v>Avg Preferred Stock (Worksheet M, ln. 14, col. (c))</v>
      </c>
      <c r="E236" s="2102">
        <f>+'SWEPCO WS M - Cost of Capital'!D24</f>
        <v>0</v>
      </c>
      <c r="G236" s="593">
        <f>IF($E$238&gt;0,E236/$E$238,0)</f>
        <v>0</v>
      </c>
      <c r="H236" s="286"/>
      <c r="I236" s="675"/>
      <c r="J236" s="594">
        <f>IF(E236&gt;0,L226/E236,0)</f>
        <v>0</v>
      </c>
      <c r="L236" s="675">
        <f>J236*G236</f>
        <v>0</v>
      </c>
      <c r="M236" s="286"/>
      <c r="N236" s="286"/>
      <c r="O236" s="495"/>
    </row>
    <row r="237" spans="2:21" ht="16" thickBot="1">
      <c r="B237" s="571">
        <f>+B236+1</f>
        <v>143</v>
      </c>
      <c r="C237" s="572"/>
      <c r="D237" s="495" t="str">
        <f>"Avg Common Stock (ln "&amp;B232&amp;")"</f>
        <v>Avg Common Stock (ln 139)</v>
      </c>
      <c r="E237" s="615">
        <f>+L232</f>
        <v>3762289333.3906918</v>
      </c>
      <c r="G237" s="593">
        <f>IF($E$238&gt;0,E237/$E$238,0)</f>
        <v>0.50586835670079389</v>
      </c>
      <c r="H237" s="286"/>
      <c r="I237" s="675"/>
      <c r="J237" s="676">
        <v>0.105</v>
      </c>
      <c r="L237" s="677">
        <f>J237*G237</f>
        <v>5.3116177453583359E-2</v>
      </c>
      <c r="M237" s="286"/>
      <c r="N237" s="286"/>
      <c r="O237" s="495"/>
    </row>
    <row r="238" spans="2:21">
      <c r="B238" s="571">
        <f>+B237+1</f>
        <v>144</v>
      </c>
      <c r="C238" s="572"/>
      <c r="D238" s="495" t="str">
        <f>"  Total  (sum lns "&amp;B235&amp;" to "&amp;B237&amp;")"</f>
        <v xml:space="preserve">  Total  (sum lns 141 to 143)</v>
      </c>
      <c r="E238" s="582">
        <f>E237+E236+E235</f>
        <v>7437289333.3906918</v>
      </c>
      <c r="G238" s="570" t="s">
        <v>254</v>
      </c>
      <c r="H238" s="286"/>
      <c r="I238" s="570"/>
      <c r="J238" s="286"/>
      <c r="K238" s="678" t="s">
        <v>208</v>
      </c>
      <c r="L238" s="679">
        <f>SUM(L235:L237)</f>
        <v>7.1961733710314404E-2</v>
      </c>
      <c r="M238" s="286"/>
      <c r="N238" s="286"/>
      <c r="P238" s="680"/>
    </row>
    <row r="239" spans="2:21">
      <c r="B239" s="681"/>
      <c r="C239" s="286"/>
      <c r="D239" s="286"/>
      <c r="E239" s="286"/>
      <c r="F239" s="286"/>
      <c r="G239" s="286"/>
      <c r="H239" s="286"/>
      <c r="I239" s="286"/>
      <c r="J239" s="18"/>
      <c r="K239" s="18"/>
      <c r="L239" s="18"/>
      <c r="M239" s="286"/>
      <c r="N239" s="286"/>
      <c r="O239" s="495"/>
      <c r="P239" s="495"/>
      <c r="Q239" s="495"/>
      <c r="R239" s="495"/>
      <c r="S239" s="495"/>
      <c r="T239" s="495"/>
      <c r="U239" s="495"/>
    </row>
    <row r="240" spans="2:21">
      <c r="B240" s="571"/>
      <c r="C240" s="286"/>
      <c r="D240" s="286"/>
      <c r="E240" s="286"/>
      <c r="F240" s="286"/>
      <c r="G240" s="286"/>
      <c r="H240" s="286"/>
      <c r="I240" s="286"/>
      <c r="J240" s="570"/>
      <c r="K240" s="495"/>
      <c r="L240" s="570"/>
      <c r="M240" s="286"/>
      <c r="N240" s="286"/>
      <c r="O240" s="495"/>
      <c r="P240" s="495"/>
      <c r="Q240" s="495"/>
      <c r="R240" s="495"/>
      <c r="S240" s="495"/>
      <c r="T240" s="495"/>
      <c r="U240" s="495"/>
    </row>
    <row r="241" spans="2:21">
      <c r="B241" s="571"/>
      <c r="C241" s="572"/>
      <c r="D241" s="566"/>
      <c r="E241" s="566"/>
      <c r="F241" s="633" t="str">
        <f>F196</f>
        <v xml:space="preserve">AEP West SPP Member Operating Companies </v>
      </c>
      <c r="G241" s="567"/>
      <c r="H241" s="570"/>
      <c r="I241" s="570"/>
      <c r="J241" s="570"/>
      <c r="K241" s="495"/>
      <c r="L241" s="570"/>
      <c r="M241" s="286"/>
      <c r="N241" s="286"/>
      <c r="O241" s="495"/>
      <c r="P241" s="495"/>
      <c r="Q241" s="495"/>
      <c r="R241" s="495"/>
      <c r="S241" s="495"/>
      <c r="T241" s="495"/>
      <c r="U241" s="495"/>
    </row>
    <row r="242" spans="2:21">
      <c r="B242" s="571"/>
      <c r="C242" s="572"/>
      <c r="E242" s="572"/>
      <c r="F242" s="633" t="str">
        <f>F197</f>
        <v>Transmission Cost of Service Formula Rate</v>
      </c>
      <c r="G242" s="570"/>
      <c r="H242" s="570"/>
      <c r="I242" s="570"/>
      <c r="J242" s="570"/>
      <c r="K242" s="495"/>
      <c r="L242" s="496"/>
      <c r="M242" s="286"/>
      <c r="N242" s="286"/>
      <c r="O242" s="495"/>
      <c r="P242" s="495"/>
      <c r="Q242" s="495"/>
      <c r="R242" s="495"/>
      <c r="S242" s="495"/>
      <c r="T242" s="495"/>
      <c r="U242" s="495"/>
    </row>
    <row r="243" spans="2:21">
      <c r="B243" s="571"/>
      <c r="C243" s="572"/>
      <c r="E243" s="634"/>
      <c r="F243" s="633" t="str">
        <f>F198</f>
        <v>Utilizing Actual / Projected Cost Data for the 2024 Rate Year</v>
      </c>
      <c r="G243" s="570"/>
      <c r="H243" s="570"/>
      <c r="I243" s="570"/>
      <c r="J243" s="570"/>
      <c r="K243" s="495"/>
      <c r="L243" s="496"/>
      <c r="M243" s="286"/>
      <c r="N243" s="286"/>
      <c r="O243" s="495"/>
      <c r="P243" s="495"/>
      <c r="Q243" s="495"/>
      <c r="R243" s="495"/>
      <c r="S243" s="495"/>
      <c r="T243" s="495"/>
      <c r="U243" s="495"/>
    </row>
    <row r="244" spans="2:21">
      <c r="B244" s="571"/>
      <c r="C244" s="572"/>
      <c r="E244" s="634"/>
      <c r="F244" s="633"/>
      <c r="G244" s="570"/>
      <c r="H244" s="570"/>
      <c r="I244" s="570"/>
      <c r="J244" s="570"/>
      <c r="K244" s="495"/>
      <c r="L244" s="496"/>
      <c r="M244" s="286"/>
      <c r="N244" s="286"/>
      <c r="O244" s="495"/>
      <c r="P244" s="495"/>
      <c r="Q244" s="495"/>
      <c r="R244" s="495"/>
      <c r="S244" s="495"/>
      <c r="T244" s="495"/>
      <c r="U244" s="495"/>
    </row>
    <row r="245" spans="2:21">
      <c r="B245" s="571"/>
      <c r="C245" s="572"/>
      <c r="E245" s="634"/>
      <c r="F245" s="633" t="str">
        <f>F200</f>
        <v>SOUTHWESTERN ELECTRIC POWER COMPANY</v>
      </c>
      <c r="G245" s="570"/>
      <c r="H245" s="570"/>
      <c r="I245" s="570"/>
      <c r="J245" s="570"/>
      <c r="K245" s="495"/>
      <c r="L245" s="496"/>
      <c r="M245" s="286"/>
      <c r="N245" s="286"/>
      <c r="O245" s="495"/>
      <c r="P245" s="495"/>
      <c r="Q245" s="495"/>
      <c r="R245" s="495"/>
      <c r="S245" s="495"/>
      <c r="T245" s="495"/>
      <c r="U245" s="495"/>
    </row>
    <row r="246" spans="2:21">
      <c r="B246" s="571"/>
      <c r="C246" s="572"/>
      <c r="E246" s="634"/>
      <c r="F246" s="633"/>
      <c r="G246" s="570"/>
      <c r="H246" s="570"/>
      <c r="I246" s="570"/>
      <c r="J246" s="570"/>
      <c r="K246" s="495"/>
      <c r="L246" s="496"/>
      <c r="M246" s="286"/>
      <c r="N246" s="286"/>
      <c r="O246" s="495"/>
      <c r="P246" s="495"/>
      <c r="Q246" s="495"/>
      <c r="R246" s="495"/>
      <c r="S246" s="495"/>
      <c r="T246" s="495"/>
      <c r="U246" s="495"/>
    </row>
    <row r="247" spans="2:21">
      <c r="B247" s="605" t="s">
        <v>315</v>
      </c>
      <c r="C247" s="572"/>
      <c r="D247" s="495"/>
      <c r="E247" s="495"/>
      <c r="F247" s="605" t="s">
        <v>314</v>
      </c>
      <c r="G247" s="570"/>
      <c r="H247" s="570"/>
      <c r="I247" s="570"/>
      <c r="J247" s="570"/>
      <c r="K247" s="495"/>
      <c r="L247" s="570"/>
      <c r="M247" s="286"/>
      <c r="N247" s="286"/>
      <c r="O247" s="495"/>
      <c r="P247" s="495"/>
      <c r="Q247" s="495"/>
      <c r="R247" s="495"/>
      <c r="S247" s="495"/>
      <c r="T247" s="495"/>
      <c r="U247" s="495"/>
    </row>
    <row r="248" spans="2:21">
      <c r="C248" s="572"/>
      <c r="D248" s="497" t="s">
        <v>677</v>
      </c>
      <c r="L248" s="496"/>
      <c r="M248" s="286"/>
      <c r="N248" s="286"/>
      <c r="O248" s="495"/>
      <c r="P248" s="495"/>
      <c r="Q248" s="495"/>
      <c r="R248" s="495"/>
      <c r="S248" s="495"/>
      <c r="T248" s="495"/>
      <c r="U248" s="495"/>
    </row>
    <row r="249" spans="2:21">
      <c r="B249" s="497"/>
      <c r="D249" s="495"/>
      <c r="E249" s="495"/>
      <c r="F249" s="495"/>
      <c r="G249" s="570"/>
      <c r="H249" s="570"/>
      <c r="I249" s="570"/>
      <c r="J249" s="630"/>
      <c r="K249" s="286"/>
      <c r="L249" s="286"/>
      <c r="M249" s="286"/>
      <c r="N249" s="286"/>
      <c r="O249" s="495"/>
      <c r="P249" s="495"/>
      <c r="Q249" s="495"/>
      <c r="R249" s="495"/>
      <c r="S249" s="495"/>
      <c r="T249" s="495"/>
      <c r="U249" s="495"/>
    </row>
    <row r="250" spans="2:21">
      <c r="B250" s="636" t="s">
        <v>287</v>
      </c>
      <c r="C250" s="572"/>
      <c r="D250" s="495" t="s">
        <v>89</v>
      </c>
      <c r="E250" s="495"/>
      <c r="F250" s="495"/>
      <c r="G250" s="570"/>
      <c r="H250" s="570"/>
      <c r="I250" s="570"/>
      <c r="J250" s="630"/>
      <c r="K250" s="286"/>
      <c r="L250" s="286"/>
      <c r="M250" s="286"/>
      <c r="N250" s="286"/>
      <c r="O250" s="495"/>
      <c r="P250" s="495"/>
      <c r="Q250" s="495"/>
      <c r="R250" s="495"/>
      <c r="S250" s="495"/>
      <c r="T250" s="495"/>
      <c r="U250" s="495"/>
    </row>
    <row r="251" spans="2:21">
      <c r="B251" s="636"/>
      <c r="C251" s="633"/>
      <c r="D251" s="495" t="s">
        <v>90</v>
      </c>
      <c r="E251" s="495"/>
      <c r="F251" s="495"/>
      <c r="G251" s="495"/>
      <c r="H251" s="495"/>
      <c r="I251" s="495"/>
      <c r="J251" s="682"/>
      <c r="K251" s="286"/>
      <c r="L251" s="286"/>
      <c r="M251" s="286"/>
      <c r="N251" s="286"/>
      <c r="O251" s="495"/>
      <c r="P251" s="495"/>
      <c r="Q251" s="495"/>
      <c r="R251" s="495"/>
      <c r="S251" s="495"/>
      <c r="T251" s="495"/>
      <c r="U251" s="495"/>
    </row>
    <row r="252" spans="2:21">
      <c r="D252" s="495" t="s">
        <v>92</v>
      </c>
      <c r="E252" s="593"/>
      <c r="F252" s="593"/>
      <c r="G252" s="495"/>
      <c r="H252" s="495"/>
      <c r="I252" s="495"/>
      <c r="J252" s="682"/>
      <c r="K252" s="286"/>
      <c r="L252" s="286"/>
      <c r="M252" s="286"/>
      <c r="N252" s="286"/>
      <c r="O252" s="495"/>
      <c r="P252" s="495"/>
      <c r="Q252" s="495"/>
      <c r="R252" s="495"/>
      <c r="S252" s="495"/>
      <c r="T252" s="495"/>
      <c r="U252" s="495"/>
    </row>
    <row r="253" spans="2:21">
      <c r="D253" s="495" t="s">
        <v>93</v>
      </c>
      <c r="E253" s="495"/>
      <c r="F253" s="495"/>
      <c r="G253" s="495"/>
      <c r="H253" s="495"/>
      <c r="I253" s="495"/>
      <c r="J253" s="682"/>
      <c r="K253" s="286"/>
      <c r="L253" s="286"/>
      <c r="M253" s="286"/>
      <c r="N253" s="286"/>
      <c r="O253" s="495"/>
      <c r="P253" s="495"/>
      <c r="Q253" s="495"/>
      <c r="R253" s="495"/>
      <c r="S253" s="495"/>
      <c r="T253" s="495"/>
      <c r="U253" s="495"/>
    </row>
    <row r="254" spans="2:21">
      <c r="B254" s="571"/>
      <c r="C254" s="572"/>
      <c r="D254" s="495" t="s">
        <v>925</v>
      </c>
      <c r="E254" s="495"/>
      <c r="F254" s="495"/>
      <c r="G254" s="495"/>
      <c r="H254" s="495"/>
      <c r="I254" s="495"/>
      <c r="J254" s="682"/>
      <c r="K254" s="286"/>
      <c r="L254" s="286"/>
      <c r="M254" s="286"/>
      <c r="N254" s="286"/>
      <c r="O254" s="495"/>
      <c r="P254" s="495"/>
      <c r="Q254" s="495"/>
      <c r="R254" s="495"/>
      <c r="S254" s="495"/>
      <c r="T254" s="495"/>
      <c r="U254" s="495"/>
    </row>
    <row r="255" spans="2:21" ht="15" customHeight="1">
      <c r="B255" s="571"/>
      <c r="C255" s="572"/>
      <c r="D255" s="495"/>
      <c r="E255" s="495"/>
      <c r="F255" s="495"/>
      <c r="G255" s="495"/>
      <c r="H255" s="495"/>
      <c r="I255" s="495"/>
      <c r="J255" s="682"/>
      <c r="K255" s="286"/>
      <c r="L255" s="286"/>
      <c r="M255" s="286"/>
      <c r="N255" s="286"/>
      <c r="O255" s="495"/>
      <c r="P255" s="495"/>
      <c r="Q255" s="495"/>
      <c r="R255" s="495"/>
      <c r="S255" s="495"/>
      <c r="T255" s="495"/>
      <c r="U255" s="495"/>
    </row>
    <row r="256" spans="2:21">
      <c r="B256" s="571" t="s">
        <v>288</v>
      </c>
      <c r="C256" s="572"/>
      <c r="D256" s="18" t="s">
        <v>94</v>
      </c>
      <c r="E256" s="495"/>
      <c r="F256" s="495"/>
      <c r="G256" s="495"/>
      <c r="H256" s="495"/>
      <c r="I256" s="495"/>
      <c r="J256" s="682"/>
      <c r="K256" s="286"/>
      <c r="L256" s="286"/>
      <c r="M256" s="286"/>
      <c r="N256" s="286"/>
      <c r="O256" s="495"/>
      <c r="P256" s="495"/>
      <c r="Q256" s="495"/>
      <c r="R256" s="495"/>
      <c r="S256" s="495"/>
      <c r="T256" s="495"/>
      <c r="U256" s="495"/>
    </row>
    <row r="257" spans="2:21">
      <c r="B257" s="571"/>
      <c r="C257" s="572"/>
      <c r="D257" s="18"/>
      <c r="E257" s="495"/>
      <c r="F257" s="495"/>
      <c r="G257" s="495"/>
      <c r="H257" s="495"/>
      <c r="I257" s="495"/>
      <c r="J257" s="682"/>
      <c r="K257" s="286"/>
      <c r="L257" s="286"/>
      <c r="M257" s="286"/>
      <c r="N257" s="286"/>
      <c r="O257" s="495"/>
      <c r="P257" s="495"/>
      <c r="Q257" s="495"/>
      <c r="R257" s="495"/>
      <c r="S257" s="495"/>
      <c r="T257" s="495"/>
      <c r="U257" s="495"/>
    </row>
    <row r="258" spans="2:21">
      <c r="B258" s="571" t="s">
        <v>289</v>
      </c>
      <c r="C258" s="572"/>
      <c r="D258" s="18" t="s">
        <v>203</v>
      </c>
      <c r="E258" s="495"/>
      <c r="F258" s="495"/>
      <c r="G258" s="495"/>
      <c r="H258" s="495"/>
      <c r="I258" s="495"/>
      <c r="J258" s="682"/>
      <c r="K258" s="286"/>
      <c r="L258" s="286"/>
      <c r="M258" s="286"/>
      <c r="N258" s="286"/>
      <c r="O258" s="495"/>
      <c r="P258" s="495"/>
      <c r="Q258" s="495"/>
      <c r="R258" s="495"/>
      <c r="S258" s="495"/>
      <c r="T258" s="495"/>
      <c r="U258" s="495"/>
    </row>
    <row r="259" spans="2:21">
      <c r="B259" s="571"/>
      <c r="C259" s="572"/>
      <c r="D259"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59" s="495"/>
      <c r="F259" s="495"/>
      <c r="G259" s="495"/>
      <c r="H259" s="495"/>
      <c r="I259" s="495"/>
      <c r="J259" s="682"/>
      <c r="K259" s="286"/>
      <c r="L259" s="286"/>
      <c r="M259" s="286"/>
      <c r="N259" s="286"/>
      <c r="O259" s="495"/>
      <c r="P259" s="495"/>
      <c r="Q259" s="495"/>
      <c r="R259" s="495"/>
      <c r="S259" s="495"/>
      <c r="T259" s="495"/>
      <c r="U259" s="495"/>
    </row>
    <row r="260" spans="2:21">
      <c r="B260" s="571"/>
      <c r="C260" s="572"/>
      <c r="D260" s="18" t="s">
        <v>204</v>
      </c>
      <c r="E260" s="495"/>
      <c r="F260" s="495"/>
      <c r="G260" s="495"/>
      <c r="H260" s="495"/>
      <c r="I260" s="495"/>
      <c r="J260" s="682"/>
      <c r="K260" s="286"/>
      <c r="L260" s="286"/>
      <c r="M260" s="286"/>
      <c r="N260" s="286"/>
      <c r="O260" s="495"/>
      <c r="P260" s="495"/>
      <c r="Q260" s="495"/>
      <c r="R260" s="495"/>
      <c r="S260" s="495"/>
      <c r="T260" s="495"/>
      <c r="U260" s="495"/>
    </row>
    <row r="261" spans="2:21">
      <c r="B261" s="571"/>
      <c r="C261" s="572"/>
      <c r="D261" s="18"/>
      <c r="E261" s="495"/>
      <c r="F261" s="495"/>
      <c r="G261" s="495"/>
      <c r="H261" s="495"/>
      <c r="I261" s="495"/>
      <c r="J261" s="682"/>
      <c r="K261" s="286"/>
      <c r="L261" s="286"/>
      <c r="M261" s="286"/>
      <c r="N261" s="286"/>
      <c r="O261" s="495"/>
      <c r="P261" s="495"/>
      <c r="Q261" s="495"/>
      <c r="R261" s="495"/>
      <c r="S261" s="495"/>
      <c r="T261" s="495"/>
      <c r="U261" s="495"/>
    </row>
    <row r="262" spans="2:21">
      <c r="B262" s="571" t="s">
        <v>290</v>
      </c>
      <c r="C262" s="572"/>
      <c r="D262" s="2275" t="s">
        <v>926</v>
      </c>
      <c r="E262" s="2274"/>
      <c r="F262" s="2274"/>
      <c r="G262" s="2274"/>
      <c r="H262" s="2274"/>
      <c r="I262" s="2274"/>
      <c r="J262" s="2274"/>
      <c r="K262" s="286"/>
      <c r="L262" s="286"/>
      <c r="M262" s="286"/>
      <c r="N262" s="286"/>
      <c r="O262" s="495"/>
      <c r="P262" s="495"/>
      <c r="Q262" s="495"/>
      <c r="R262" s="495"/>
      <c r="S262" s="495"/>
      <c r="T262" s="495"/>
      <c r="U262" s="495"/>
    </row>
    <row r="263" spans="2:21">
      <c r="B263" s="571"/>
      <c r="C263" s="572"/>
      <c r="D263" s="2274"/>
      <c r="E263" s="2274"/>
      <c r="F263" s="2274"/>
      <c r="G263" s="2274"/>
      <c r="H263" s="2274"/>
      <c r="I263" s="2274"/>
      <c r="J263" s="2274"/>
      <c r="K263" s="286"/>
      <c r="L263" s="286"/>
      <c r="M263" s="286"/>
      <c r="N263" s="286"/>
      <c r="O263" s="495"/>
      <c r="P263" s="495"/>
      <c r="Q263" s="495"/>
      <c r="R263" s="495"/>
      <c r="S263" s="495"/>
      <c r="T263" s="495"/>
      <c r="U263" s="495"/>
    </row>
    <row r="264" spans="2:21">
      <c r="B264" s="571"/>
      <c r="C264" s="572"/>
      <c r="E264" s="495"/>
      <c r="F264" s="495"/>
      <c r="G264" s="495"/>
      <c r="H264" s="495"/>
      <c r="I264" s="495"/>
      <c r="J264" s="682"/>
      <c r="K264" s="286"/>
      <c r="L264" s="286"/>
      <c r="M264" s="286"/>
      <c r="N264" s="286"/>
      <c r="O264" s="495"/>
      <c r="P264" s="495"/>
      <c r="Q264" s="495"/>
      <c r="R264" s="495"/>
      <c r="S264" s="495"/>
      <c r="T264" s="495"/>
      <c r="U264" s="495"/>
    </row>
    <row r="265" spans="2:21">
      <c r="B265" s="571" t="s">
        <v>291</v>
      </c>
      <c r="C265" s="572"/>
      <c r="D265" s="495" t="s">
        <v>201</v>
      </c>
      <c r="E265" s="495"/>
      <c r="F265" s="495"/>
      <c r="G265" s="495"/>
      <c r="H265" s="495"/>
      <c r="I265" s="495"/>
      <c r="J265" s="682"/>
      <c r="K265" s="286"/>
      <c r="L265" s="286"/>
      <c r="M265" s="286"/>
      <c r="N265" s="286"/>
      <c r="O265" s="495"/>
      <c r="P265" s="495"/>
      <c r="Q265" s="495"/>
      <c r="R265" s="495"/>
      <c r="S265" s="495"/>
      <c r="T265" s="495"/>
      <c r="U265" s="495"/>
    </row>
    <row r="266" spans="2:21">
      <c r="B266" s="571"/>
      <c r="C266" s="572"/>
      <c r="D266" s="495" t="s">
        <v>417</v>
      </c>
      <c r="E266" s="495"/>
      <c r="F266" s="495"/>
      <c r="G266" s="495"/>
      <c r="H266" s="495"/>
      <c r="I266" s="495"/>
      <c r="J266" s="682"/>
      <c r="K266" s="286"/>
      <c r="L266" s="286"/>
      <c r="M266" s="286"/>
      <c r="N266" s="286"/>
      <c r="O266" s="495"/>
      <c r="P266" s="495"/>
      <c r="Q266" s="495"/>
      <c r="R266" s="495"/>
      <c r="S266" s="495"/>
      <c r="T266" s="495"/>
      <c r="U266" s="495"/>
    </row>
    <row r="267" spans="2:21">
      <c r="C267" s="572"/>
      <c r="D267" s="495" t="s">
        <v>649</v>
      </c>
      <c r="E267" s="495"/>
      <c r="F267" s="495"/>
      <c r="G267" s="495"/>
      <c r="H267" s="495"/>
      <c r="I267" s="495"/>
      <c r="J267" s="682"/>
      <c r="K267" s="286"/>
      <c r="L267" s="286"/>
      <c r="M267" s="286"/>
      <c r="N267" s="286"/>
      <c r="O267" s="495"/>
      <c r="P267" s="495"/>
      <c r="Q267" s="495"/>
      <c r="R267" s="495"/>
      <c r="S267" s="495"/>
      <c r="T267" s="495"/>
      <c r="U267" s="495"/>
    </row>
    <row r="268" spans="2:21">
      <c r="B268" s="571"/>
      <c r="C268" s="572"/>
      <c r="D268" s="495" t="s">
        <v>202</v>
      </c>
      <c r="E268" s="495"/>
      <c r="F268" s="495"/>
      <c r="G268" s="495"/>
      <c r="H268" s="495"/>
      <c r="I268" s="495"/>
      <c r="J268" s="682"/>
      <c r="K268" s="286"/>
      <c r="L268" s="286"/>
      <c r="M268" s="286"/>
      <c r="N268" s="286"/>
      <c r="O268" s="495"/>
      <c r="P268" s="495"/>
      <c r="Q268" s="495"/>
      <c r="R268" s="495"/>
      <c r="S268" s="495"/>
      <c r="T268" s="495"/>
      <c r="U268" s="495"/>
    </row>
    <row r="269" spans="2:21">
      <c r="B269" s="571"/>
      <c r="C269" s="572"/>
      <c r="D269" s="495"/>
      <c r="E269" s="495"/>
      <c r="F269" s="495"/>
      <c r="G269" s="495"/>
      <c r="H269" s="495"/>
      <c r="I269" s="495"/>
      <c r="J269" s="682"/>
      <c r="K269" s="286"/>
      <c r="L269" s="286"/>
      <c r="M269" s="286"/>
      <c r="N269" s="286"/>
      <c r="O269" s="495"/>
      <c r="P269" s="495"/>
      <c r="Q269" s="495"/>
      <c r="R269" s="495"/>
      <c r="S269" s="495"/>
      <c r="T269" s="495"/>
      <c r="U269" s="495"/>
    </row>
    <row r="270" spans="2:21">
      <c r="B270" s="571" t="s">
        <v>292</v>
      </c>
      <c r="C270" s="572"/>
      <c r="D270" s="495" t="s">
        <v>136</v>
      </c>
      <c r="E270" s="495"/>
      <c r="F270" s="495"/>
      <c r="G270" s="495"/>
      <c r="H270" s="495"/>
      <c r="I270" s="495"/>
      <c r="J270" s="682"/>
      <c r="K270" s="286"/>
      <c r="L270" s="286"/>
      <c r="M270" s="286"/>
      <c r="N270" s="286"/>
      <c r="O270" s="495"/>
      <c r="P270" s="495"/>
      <c r="Q270" s="495"/>
      <c r="R270" s="495"/>
      <c r="S270" s="495"/>
      <c r="T270" s="495"/>
      <c r="U270" s="495"/>
    </row>
    <row r="271" spans="2:21">
      <c r="B271" s="571"/>
      <c r="C271" s="572"/>
      <c r="D271" s="495"/>
      <c r="E271" s="495"/>
      <c r="F271" s="495"/>
      <c r="G271" s="495"/>
      <c r="H271" s="495"/>
      <c r="I271" s="495"/>
      <c r="J271" s="682"/>
      <c r="K271" s="286"/>
      <c r="L271" s="286"/>
      <c r="M271" s="286"/>
      <c r="N271" s="286"/>
      <c r="O271" s="495"/>
      <c r="P271" s="495"/>
      <c r="Q271" s="495"/>
      <c r="R271" s="495"/>
      <c r="S271" s="495"/>
      <c r="T271" s="495"/>
      <c r="U271" s="495"/>
    </row>
    <row r="272" spans="2:21">
      <c r="B272" s="571" t="s">
        <v>293</v>
      </c>
      <c r="C272" s="572"/>
      <c r="D272" s="495" t="str">
        <f>"Cash Working Capital assigned to transmission is one-eighth of O&amp;M allocated to transmission on line "&amp;B134&amp;"."</f>
        <v>Cash Working Capital assigned to transmission is one-eighth of O&amp;M allocated to transmission on line 70.</v>
      </c>
      <c r="E272" s="495"/>
      <c r="F272" s="495"/>
      <c r="G272" s="495"/>
      <c r="H272" s="495"/>
      <c r="I272" s="495"/>
      <c r="J272" s="682"/>
      <c r="K272" s="286"/>
      <c r="L272" s="286"/>
      <c r="M272" s="286"/>
      <c r="N272" s="286"/>
      <c r="O272" s="495"/>
      <c r="P272" s="495"/>
      <c r="Q272" s="495"/>
      <c r="R272" s="495"/>
      <c r="S272" s="495"/>
      <c r="T272" s="495"/>
      <c r="U272" s="495"/>
    </row>
    <row r="273" spans="2:21">
      <c r="B273" s="571"/>
      <c r="C273" s="572"/>
      <c r="D273" s="495"/>
      <c r="E273" s="495"/>
      <c r="F273" s="495"/>
      <c r="G273" s="495"/>
      <c r="H273" s="495"/>
      <c r="I273" s="495"/>
      <c r="J273" s="682"/>
      <c r="K273" s="286"/>
      <c r="L273" s="286"/>
      <c r="M273" s="286"/>
      <c r="N273" s="286"/>
      <c r="O273" s="495"/>
      <c r="P273" s="495"/>
      <c r="Q273" s="495"/>
      <c r="R273" s="495"/>
      <c r="S273" s="495"/>
      <c r="T273" s="495"/>
      <c r="U273" s="495"/>
    </row>
    <row r="274" spans="2:21">
      <c r="B274" s="636" t="s">
        <v>294</v>
      </c>
      <c r="C274" s="633"/>
      <c r="D274" s="497" t="str">
        <f>"Consistent with Paragraph 657 of Order 2003-A, the amount on line "&amp;B116&amp;" is equal to the balance of IPP System Upgrade Credits owed to transmission customers that"</f>
        <v>Consistent with Paragraph 657 of Order 2003-A, the amount on line  is equal to the balance of IPP System Upgrade Credits owed to transmission customers that</v>
      </c>
      <c r="J274" s="630"/>
      <c r="K274" s="286"/>
      <c r="L274" s="286"/>
      <c r="M274" s="286"/>
      <c r="N274" s="286"/>
      <c r="O274" s="495"/>
      <c r="P274" s="495"/>
      <c r="Q274" s="495"/>
      <c r="R274" s="495"/>
      <c r="S274" s="495"/>
      <c r="T274" s="495"/>
      <c r="U274" s="495"/>
    </row>
    <row r="275" spans="2:21">
      <c r="D275" s="497" t="s">
        <v>355</v>
      </c>
      <c r="J275" s="630"/>
      <c r="K275" s="286"/>
      <c r="L275" s="286"/>
      <c r="M275" s="286"/>
      <c r="N275" s="286"/>
      <c r="O275" s="495"/>
      <c r="P275" s="495"/>
      <c r="Q275" s="495"/>
      <c r="R275" s="495"/>
      <c r="S275" s="495"/>
      <c r="T275" s="495"/>
      <c r="U275" s="495"/>
    </row>
    <row r="276" spans="2:21">
      <c r="D276" s="497" t="str">
        <f>"expense is included on line "&amp;B186&amp;"."</f>
        <v>expense is included on line 113.</v>
      </c>
      <c r="J276" s="630"/>
      <c r="K276" s="286"/>
      <c r="L276" s="286"/>
      <c r="M276" s="286"/>
      <c r="N276" s="286"/>
      <c r="O276" s="495"/>
      <c r="P276" s="495"/>
      <c r="Q276" s="495"/>
      <c r="R276" s="495"/>
      <c r="S276" s="495"/>
      <c r="T276" s="495"/>
      <c r="U276" s="495"/>
    </row>
    <row r="277" spans="2:21">
      <c r="J277" s="630"/>
      <c r="K277" s="286"/>
      <c r="L277" s="286"/>
      <c r="M277" s="286"/>
      <c r="N277" s="286"/>
      <c r="O277" s="495"/>
      <c r="P277" s="495"/>
      <c r="Q277" s="495"/>
      <c r="R277" s="495"/>
      <c r="S277" s="495"/>
      <c r="T277" s="495"/>
      <c r="U277" s="495"/>
    </row>
    <row r="278" spans="2:21" ht="20.25" customHeight="1">
      <c r="B278" s="636" t="s">
        <v>295</v>
      </c>
      <c r="D278" s="2263" t="str">
        <f>"Line "&amp;B129&amp;"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78" s="2263"/>
      <c r="F278" s="2263"/>
      <c r="G278" s="2263"/>
      <c r="H278" s="2263"/>
      <c r="I278" s="2263"/>
      <c r="J278" s="2263"/>
      <c r="K278" s="286"/>
      <c r="L278" s="286"/>
      <c r="M278" s="286"/>
      <c r="N278" s="286"/>
      <c r="O278" s="495"/>
      <c r="P278" s="495"/>
      <c r="Q278" s="495"/>
      <c r="R278" s="495"/>
      <c r="S278" s="495"/>
      <c r="T278" s="495"/>
      <c r="U278" s="495"/>
    </row>
    <row r="279" spans="2:21">
      <c r="B279" s="636"/>
      <c r="D279" s="495"/>
      <c r="J279" s="630"/>
      <c r="K279" s="286"/>
      <c r="L279" s="286"/>
      <c r="M279" s="286"/>
      <c r="N279" s="286"/>
      <c r="O279" s="495"/>
      <c r="P279" s="495"/>
      <c r="Q279" s="495"/>
      <c r="R279" s="495"/>
      <c r="S279" s="495"/>
      <c r="T279" s="495"/>
      <c r="U279" s="495"/>
    </row>
    <row r="280" spans="2:21">
      <c r="B280" s="636" t="s">
        <v>296</v>
      </c>
      <c r="D280" s="497" t="s">
        <v>137</v>
      </c>
      <c r="J280" s="630"/>
      <c r="K280" s="286"/>
      <c r="L280" s="286"/>
      <c r="M280" s="286"/>
      <c r="N280" s="286"/>
      <c r="O280" s="495"/>
      <c r="P280" s="495"/>
      <c r="Q280" s="495"/>
      <c r="R280" s="495"/>
      <c r="S280" s="495"/>
      <c r="T280" s="495"/>
      <c r="U280" s="495"/>
    </row>
    <row r="281" spans="2:21">
      <c r="B281" s="636"/>
      <c r="J281" s="630"/>
      <c r="K281" s="286"/>
      <c r="L281" s="286"/>
      <c r="M281" s="286"/>
      <c r="N281" s="286"/>
      <c r="O281" s="495"/>
      <c r="P281" s="495"/>
      <c r="Q281" s="495"/>
      <c r="R281" s="495"/>
      <c r="S281" s="495"/>
      <c r="T281" s="495"/>
      <c r="U281" s="495"/>
    </row>
    <row r="282" spans="2:21">
      <c r="B282" s="571" t="s">
        <v>297</v>
      </c>
      <c r="D282" s="497" t="s">
        <v>689</v>
      </c>
      <c r="J282" s="630"/>
      <c r="K282" s="286"/>
      <c r="L282" s="286"/>
      <c r="M282" s="286"/>
      <c r="N282" s="286"/>
      <c r="O282" s="495"/>
      <c r="P282" s="495"/>
      <c r="Q282" s="495"/>
      <c r="R282" s="495"/>
      <c r="S282" s="495"/>
      <c r="T282" s="495"/>
      <c r="U282" s="495"/>
    </row>
    <row r="283" spans="2:21">
      <c r="B283" s="636"/>
      <c r="J283" s="630"/>
      <c r="K283" s="286"/>
      <c r="L283" s="286"/>
      <c r="M283" s="286"/>
      <c r="N283" s="286"/>
      <c r="O283" s="495"/>
      <c r="P283" s="495"/>
      <c r="Q283" s="495"/>
      <c r="R283" s="495"/>
      <c r="S283" s="495"/>
      <c r="T283" s="495"/>
      <c r="U283" s="495"/>
    </row>
    <row r="284" spans="2:21">
      <c r="B284" s="571" t="s">
        <v>298</v>
      </c>
      <c r="C284" s="572"/>
      <c r="D284" s="495" t="s">
        <v>927</v>
      </c>
      <c r="E284" s="495"/>
      <c r="F284" s="495"/>
      <c r="G284" s="495"/>
      <c r="H284" s="495"/>
      <c r="I284" s="495"/>
      <c r="J284" s="682"/>
      <c r="K284" s="286"/>
      <c r="L284" s="286"/>
      <c r="M284" s="286"/>
      <c r="N284" s="286"/>
      <c r="O284" s="495"/>
      <c r="P284" s="495"/>
      <c r="Q284" s="495"/>
      <c r="R284" s="495"/>
      <c r="S284" s="495"/>
      <c r="T284" s="495"/>
      <c r="U284" s="495"/>
    </row>
    <row r="285" spans="2:21">
      <c r="B285" s="571"/>
      <c r="C285" s="572"/>
      <c r="D285" s="495" t="s">
        <v>138</v>
      </c>
      <c r="E285" s="495"/>
      <c r="F285" s="495"/>
      <c r="G285" s="495"/>
      <c r="H285" s="495"/>
      <c r="I285" s="495"/>
      <c r="J285" s="682"/>
      <c r="K285" s="286"/>
      <c r="L285" s="286"/>
      <c r="M285" s="286"/>
      <c r="N285" s="286"/>
      <c r="O285" s="495"/>
      <c r="P285" s="495"/>
      <c r="Q285" s="495"/>
      <c r="R285" s="495"/>
      <c r="S285" s="495"/>
      <c r="T285" s="495"/>
      <c r="U285" s="495"/>
    </row>
    <row r="286" spans="2:21">
      <c r="B286" s="571"/>
      <c r="C286" s="572"/>
      <c r="D286" s="495" t="s">
        <v>139</v>
      </c>
      <c r="E286" s="495"/>
      <c r="F286" s="495"/>
      <c r="G286" s="495"/>
      <c r="H286" s="495"/>
      <c r="I286" s="495"/>
      <c r="J286" s="682"/>
      <c r="K286" s="286"/>
      <c r="L286" s="286"/>
      <c r="M286" s="286"/>
      <c r="N286" s="286"/>
      <c r="O286" s="495"/>
      <c r="P286" s="495"/>
      <c r="Q286" s="495"/>
      <c r="R286" s="495"/>
      <c r="S286" s="495"/>
      <c r="T286" s="495"/>
      <c r="U286" s="495"/>
    </row>
    <row r="287" spans="2:21">
      <c r="B287" s="571"/>
      <c r="C287" s="572"/>
      <c r="D287" s="497" t="s">
        <v>928</v>
      </c>
      <c r="E287" s="495"/>
      <c r="F287" s="495"/>
      <c r="G287" s="495"/>
      <c r="H287" s="495"/>
      <c r="I287" s="495"/>
      <c r="J287" s="682"/>
      <c r="K287" s="286"/>
      <c r="L287" s="286"/>
      <c r="M287" s="286"/>
      <c r="N287" s="286"/>
      <c r="O287" s="495"/>
      <c r="P287" s="495"/>
      <c r="Q287" s="495"/>
      <c r="R287" s="495"/>
      <c r="S287" s="495"/>
      <c r="T287" s="495"/>
      <c r="U287" s="495"/>
    </row>
    <row r="288" spans="2:21">
      <c r="B288" s="571"/>
      <c r="C288" s="572"/>
      <c r="E288" s="495"/>
      <c r="F288" s="495"/>
      <c r="G288" s="495"/>
      <c r="H288" s="495"/>
      <c r="I288" s="495"/>
      <c r="J288" s="682"/>
      <c r="K288" s="286"/>
      <c r="L288" s="286"/>
      <c r="M288" s="286"/>
      <c r="N288" s="286"/>
      <c r="O288" s="495"/>
      <c r="P288" s="495"/>
      <c r="Q288" s="495"/>
      <c r="R288" s="495"/>
      <c r="S288" s="495"/>
      <c r="T288" s="495"/>
      <c r="U288" s="495"/>
    </row>
    <row r="289" spans="2:21" ht="62.25" customHeight="1">
      <c r="B289" s="683" t="s">
        <v>299</v>
      </c>
      <c r="C289" s="572"/>
      <c r="D289" s="2271" t="s">
        <v>684</v>
      </c>
      <c r="E289" s="2271"/>
      <c r="F289" s="2271"/>
      <c r="G289" s="2271"/>
      <c r="H289" s="2271"/>
      <c r="I289" s="2271"/>
      <c r="J289" s="2271"/>
      <c r="K289" s="286"/>
      <c r="L289" s="286"/>
      <c r="M289" s="286"/>
      <c r="N289" s="286"/>
      <c r="O289" s="495"/>
      <c r="P289" s="495"/>
      <c r="Q289" s="495"/>
      <c r="R289" s="495"/>
      <c r="S289" s="495"/>
      <c r="T289" s="495"/>
      <c r="U289" s="495"/>
    </row>
    <row r="290" spans="2:21">
      <c r="B290" s="633"/>
      <c r="C290" s="572"/>
      <c r="E290" s="495"/>
      <c r="F290" s="495"/>
      <c r="G290" s="495"/>
      <c r="H290" s="495"/>
      <c r="I290" s="495"/>
      <c r="J290" s="682"/>
      <c r="K290" s="286"/>
      <c r="L290" s="286"/>
      <c r="M290" s="286"/>
      <c r="N290" s="286"/>
      <c r="O290" s="495"/>
      <c r="P290" s="495"/>
      <c r="Q290" s="495"/>
      <c r="R290" s="495"/>
      <c r="S290" s="495"/>
      <c r="T290" s="495"/>
      <c r="U290" s="495"/>
    </row>
    <row r="291" spans="2:21" ht="30.75" customHeight="1">
      <c r="B291" s="683" t="s">
        <v>367</v>
      </c>
      <c r="C291" s="572"/>
      <c r="D291" s="2273" t="s">
        <v>650</v>
      </c>
      <c r="E291" s="2273"/>
      <c r="F291" s="2273"/>
      <c r="G291" s="2273"/>
      <c r="H291" s="2273"/>
      <c r="I291" s="2273"/>
      <c r="J291" s="2273"/>
      <c r="K291" s="286"/>
      <c r="L291" s="286"/>
      <c r="M291" s="286"/>
      <c r="N291" s="286"/>
      <c r="O291" s="495"/>
      <c r="P291" s="495"/>
      <c r="Q291" s="495"/>
      <c r="R291" s="495"/>
      <c r="S291" s="495"/>
      <c r="T291" s="495"/>
      <c r="U291" s="495"/>
    </row>
    <row r="292" spans="2:21">
      <c r="C292" s="572"/>
      <c r="D292" s="684"/>
      <c r="E292" s="684"/>
      <c r="F292" s="684"/>
      <c r="G292" s="684"/>
      <c r="H292" s="684"/>
      <c r="I292" s="684"/>
      <c r="J292" s="684"/>
      <c r="K292" s="286"/>
      <c r="L292" s="286"/>
      <c r="M292" s="286"/>
      <c r="N292" s="286"/>
      <c r="O292" s="495"/>
      <c r="P292" s="495"/>
      <c r="Q292" s="495"/>
      <c r="R292" s="495"/>
      <c r="S292" s="495"/>
      <c r="T292" s="495"/>
      <c r="U292" s="495"/>
    </row>
    <row r="293" spans="2:21">
      <c r="B293" s="571" t="s">
        <v>388</v>
      </c>
      <c r="C293" s="572"/>
      <c r="D293" s="495" t="s">
        <v>409</v>
      </c>
      <c r="E293" s="495"/>
      <c r="F293" s="495"/>
      <c r="G293" s="495"/>
      <c r="H293" s="495"/>
      <c r="I293" s="495"/>
      <c r="J293" s="682"/>
      <c r="K293" s="286"/>
      <c r="L293" s="286"/>
      <c r="M293" s="286"/>
      <c r="N293" s="286"/>
      <c r="O293" s="495"/>
      <c r="P293" s="495"/>
      <c r="Q293" s="495"/>
      <c r="R293" s="495"/>
      <c r="S293" s="495"/>
      <c r="T293" s="495"/>
      <c r="U293" s="495"/>
    </row>
    <row r="294" spans="2:21">
      <c r="B294" s="571"/>
      <c r="C294" s="572"/>
      <c r="D294" s="495" t="s">
        <v>2</v>
      </c>
      <c r="E294" s="495"/>
      <c r="F294" s="495"/>
      <c r="G294" s="495"/>
      <c r="H294" s="495"/>
      <c r="I294" s="495"/>
      <c r="J294" s="682"/>
      <c r="K294" s="286"/>
      <c r="L294" s="286"/>
      <c r="M294" s="286"/>
      <c r="N294" s="286"/>
      <c r="O294" s="495"/>
      <c r="P294" s="495"/>
      <c r="Q294" s="495"/>
      <c r="R294" s="495"/>
      <c r="S294" s="495"/>
      <c r="T294" s="495"/>
      <c r="U294" s="495"/>
    </row>
    <row r="295" spans="2:21">
      <c r="B295" s="571"/>
      <c r="C295" s="572"/>
      <c r="D295" s="495" t="s">
        <v>3</v>
      </c>
      <c r="E295" s="495"/>
      <c r="F295" s="495"/>
      <c r="G295" s="495"/>
      <c r="H295" s="495"/>
      <c r="I295" s="495"/>
      <c r="J295" s="682"/>
      <c r="K295" s="286"/>
      <c r="L295" s="286"/>
      <c r="M295" s="286"/>
      <c r="N295" s="286"/>
      <c r="O295" s="495"/>
      <c r="P295" s="495"/>
      <c r="Q295" s="495"/>
      <c r="R295" s="495"/>
      <c r="S295" s="495"/>
      <c r="T295" s="495"/>
      <c r="U295" s="495"/>
    </row>
    <row r="296" spans="2:21">
      <c r="B296" s="571"/>
      <c r="C296" s="572"/>
      <c r="D296" s="495" t="s">
        <v>4</v>
      </c>
      <c r="E296" s="495"/>
      <c r="F296" s="495"/>
      <c r="G296" s="495"/>
      <c r="H296" s="495"/>
      <c r="I296" s="495"/>
      <c r="J296" s="682"/>
      <c r="K296" s="286"/>
      <c r="L296" s="286"/>
      <c r="M296" s="286"/>
      <c r="N296" s="286"/>
      <c r="O296" s="495"/>
      <c r="P296" s="495"/>
      <c r="Q296" s="495"/>
      <c r="R296" s="495"/>
      <c r="S296" s="495"/>
      <c r="T296" s="495"/>
      <c r="U296" s="495"/>
    </row>
    <row r="297" spans="2:21">
      <c r="B297" s="571"/>
      <c r="C297" s="572"/>
      <c r="D297" s="495" t="s">
        <v>5</v>
      </c>
      <c r="E297" s="495"/>
      <c r="F297" s="495"/>
      <c r="G297" s="495"/>
      <c r="H297" s="495"/>
      <c r="I297" s="495"/>
      <c r="J297" s="682"/>
      <c r="K297" s="286"/>
      <c r="L297" s="286"/>
      <c r="M297" s="286"/>
      <c r="N297" s="286"/>
      <c r="O297" s="495"/>
      <c r="P297" s="495"/>
      <c r="Q297" s="495"/>
      <c r="R297" s="495"/>
      <c r="S297" s="495"/>
      <c r="T297" s="495"/>
      <c r="U297" s="495"/>
    </row>
    <row r="298" spans="2:21">
      <c r="B298" s="571"/>
      <c r="C298" s="572"/>
      <c r="D298" s="495" t="str">
        <f>"(ln "&amp;B168&amp;") multiplied by (1/1-T) .  If the applicable tax rates are zero enter 0."</f>
        <v>(ln 99) multiplied by (1/1-T) .  If the applicable tax rates are zero enter 0.</v>
      </c>
      <c r="E298" s="495"/>
      <c r="F298" s="495"/>
      <c r="G298" s="495"/>
      <c r="H298" s="495"/>
      <c r="I298" s="495"/>
      <c r="J298" s="682"/>
      <c r="K298" s="286"/>
      <c r="L298" s="286"/>
      <c r="M298" s="286"/>
      <c r="N298" s="286"/>
      <c r="O298" s="495"/>
      <c r="P298" s="495"/>
      <c r="Q298" s="495"/>
      <c r="R298" s="495"/>
      <c r="S298" s="495"/>
      <c r="T298" s="495"/>
      <c r="U298" s="495"/>
    </row>
    <row r="299" spans="2:21">
      <c r="B299" s="571" t="s">
        <v>254</v>
      </c>
      <c r="C299" s="572"/>
      <c r="D299" s="495" t="s">
        <v>6</v>
      </c>
      <c r="E299" s="495" t="s">
        <v>7</v>
      </c>
      <c r="F299" s="676">
        <v>0.21</v>
      </c>
      <c r="G299" s="495"/>
      <c r="I299" s="495"/>
      <c r="J299" s="682"/>
      <c r="K299" s="286"/>
      <c r="L299" s="286"/>
      <c r="M299" s="286"/>
      <c r="N299" s="286"/>
      <c r="O299" s="495"/>
      <c r="P299" s="495"/>
      <c r="Q299" s="495"/>
      <c r="R299" s="495"/>
      <c r="S299" s="495"/>
      <c r="T299" s="495"/>
      <c r="U299" s="495"/>
    </row>
    <row r="300" spans="2:21">
      <c r="B300" s="571"/>
      <c r="C300" s="572"/>
      <c r="D300" s="495"/>
      <c r="E300" s="495" t="s">
        <v>8</v>
      </c>
      <c r="F300" s="593">
        <f>+'SWEPCO WS K State Taxes'!F29</f>
        <v>4.2000000000000003E-2</v>
      </c>
      <c r="G300" s="495" t="s">
        <v>116</v>
      </c>
      <c r="I300" s="495"/>
      <c r="J300" s="682"/>
      <c r="K300" s="286"/>
      <c r="L300" s="286"/>
      <c r="M300" s="286"/>
      <c r="N300" s="286"/>
      <c r="O300" s="495"/>
      <c r="P300" s="495"/>
      <c r="Q300" s="495"/>
      <c r="R300" s="495"/>
      <c r="S300" s="495"/>
      <c r="T300" s="495"/>
      <c r="U300" s="495"/>
    </row>
    <row r="301" spans="2:21">
      <c r="B301" s="571"/>
      <c r="C301" s="572"/>
      <c r="D301" s="495"/>
      <c r="E301" s="495" t="s">
        <v>9</v>
      </c>
      <c r="F301" s="676">
        <v>0</v>
      </c>
      <c r="G301" s="495" t="s">
        <v>10</v>
      </c>
      <c r="I301" s="495"/>
      <c r="J301" s="682"/>
      <c r="K301" s="286"/>
      <c r="L301" s="286"/>
      <c r="M301" s="286"/>
      <c r="N301" s="286"/>
      <c r="O301" s="495"/>
      <c r="P301" s="495"/>
      <c r="Q301" s="495"/>
      <c r="R301" s="495"/>
      <c r="S301" s="495"/>
      <c r="T301" s="495"/>
      <c r="U301" s="495"/>
    </row>
    <row r="302" spans="2:21" ht="39.75" customHeight="1">
      <c r="B302" s="571"/>
      <c r="C302" s="572"/>
      <c r="D302" s="2272" t="s">
        <v>937</v>
      </c>
      <c r="E302" s="2272"/>
      <c r="F302" s="2272"/>
      <c r="G302" s="2272"/>
      <c r="H302" s="2272"/>
      <c r="I302" s="2272"/>
      <c r="J302" s="2272"/>
      <c r="K302" s="685"/>
      <c r="L302" s="685"/>
      <c r="M302" s="286"/>
      <c r="N302" s="286"/>
      <c r="O302" s="495"/>
      <c r="P302" s="495"/>
      <c r="Q302" s="495"/>
      <c r="R302" s="495"/>
      <c r="S302" s="495"/>
      <c r="T302" s="495"/>
      <c r="U302" s="495"/>
    </row>
    <row r="303" spans="2:21">
      <c r="B303" s="571"/>
      <c r="C303" s="572"/>
      <c r="D303" s="495"/>
      <c r="E303" s="495"/>
      <c r="F303" s="593"/>
      <c r="G303" s="495"/>
      <c r="I303" s="495"/>
      <c r="J303" s="682"/>
      <c r="K303" s="286"/>
      <c r="L303" s="286"/>
      <c r="M303" s="286"/>
      <c r="N303" s="286"/>
      <c r="O303" s="495"/>
      <c r="P303" s="495"/>
      <c r="Q303" s="495"/>
      <c r="R303" s="495"/>
      <c r="S303" s="495"/>
      <c r="T303" s="495"/>
      <c r="U303" s="495"/>
    </row>
    <row r="304" spans="2:21">
      <c r="B304" s="571"/>
      <c r="C304" s="572"/>
      <c r="D304" s="495"/>
      <c r="E304" s="495"/>
      <c r="F304" s="593"/>
      <c r="G304" s="495"/>
      <c r="I304" s="495"/>
      <c r="J304" s="682"/>
      <c r="K304" s="286"/>
      <c r="L304" s="286"/>
      <c r="M304" s="286"/>
      <c r="N304" s="286"/>
      <c r="O304" s="495"/>
      <c r="P304" s="495"/>
      <c r="Q304" s="495"/>
      <c r="R304" s="495"/>
      <c r="S304" s="495"/>
      <c r="T304" s="495"/>
      <c r="U304" s="495"/>
    </row>
    <row r="305" spans="2:21">
      <c r="B305" s="571" t="s">
        <v>11</v>
      </c>
      <c r="C305" s="572"/>
      <c r="D305" s="495" t="s">
        <v>685</v>
      </c>
      <c r="E305" s="495"/>
      <c r="F305" s="495"/>
      <c r="G305" s="593"/>
      <c r="H305" s="495"/>
      <c r="I305" s="495"/>
      <c r="J305" s="682"/>
      <c r="K305" s="286"/>
      <c r="L305" s="286"/>
      <c r="M305" s="286"/>
      <c r="N305" s="286"/>
      <c r="O305" s="495"/>
      <c r="P305" s="495"/>
      <c r="Q305" s="495"/>
      <c r="R305" s="495"/>
      <c r="S305" s="495"/>
      <c r="T305" s="495"/>
      <c r="U305" s="495"/>
    </row>
    <row r="306" spans="2:21">
      <c r="B306" s="571"/>
      <c r="C306" s="572"/>
      <c r="D306" s="495" t="s">
        <v>0</v>
      </c>
      <c r="E306" s="495"/>
      <c r="F306" s="495"/>
      <c r="G306" s="593"/>
      <c r="H306" s="495"/>
      <c r="I306" s="495"/>
      <c r="J306" s="682"/>
      <c r="K306" s="286"/>
      <c r="L306" s="286"/>
      <c r="M306" s="286"/>
      <c r="N306" s="286"/>
      <c r="O306" s="495"/>
      <c r="P306" s="495"/>
      <c r="Q306" s="495"/>
      <c r="R306" s="495"/>
      <c r="S306" s="495"/>
      <c r="T306" s="495"/>
      <c r="U306" s="495"/>
    </row>
    <row r="307" spans="2:21">
      <c r="B307" s="571"/>
      <c r="C307" s="572"/>
      <c r="D307" s="495"/>
      <c r="E307" s="495"/>
      <c r="F307" s="495"/>
      <c r="G307" s="593"/>
      <c r="H307" s="495"/>
      <c r="I307" s="495"/>
      <c r="J307" s="682"/>
      <c r="K307" s="286"/>
      <c r="L307" s="286"/>
      <c r="M307" s="286"/>
      <c r="N307" s="286"/>
      <c r="O307" s="495"/>
      <c r="P307" s="495"/>
      <c r="Q307" s="495"/>
      <c r="R307" s="495"/>
      <c r="S307" s="495"/>
      <c r="T307" s="495"/>
      <c r="U307" s="495"/>
    </row>
    <row r="308" spans="2:21" ht="20.25" customHeight="1">
      <c r="B308" s="686" t="s">
        <v>12</v>
      </c>
      <c r="C308" s="687"/>
      <c r="D308" s="2271" t="s">
        <v>956</v>
      </c>
      <c r="E308" s="2271"/>
      <c r="F308" s="2271"/>
      <c r="G308" s="2271"/>
      <c r="H308" s="2271"/>
      <c r="I308" s="2271"/>
      <c r="J308" s="2271"/>
      <c r="K308" s="286"/>
      <c r="L308" s="286"/>
      <c r="M308" s="286"/>
      <c r="N308" s="286"/>
      <c r="O308" s="495"/>
      <c r="P308" s="495"/>
      <c r="Q308" s="495"/>
      <c r="R308" s="495"/>
      <c r="S308" s="495"/>
      <c r="T308" s="495"/>
      <c r="U308" s="495"/>
    </row>
    <row r="309" spans="2:21">
      <c r="B309" s="497"/>
      <c r="D309" s="495"/>
      <c r="J309" s="630"/>
      <c r="K309" s="286"/>
      <c r="L309" s="286"/>
      <c r="M309" s="286"/>
      <c r="N309" s="286"/>
      <c r="O309" s="495"/>
      <c r="P309" s="495"/>
      <c r="Q309" s="495"/>
      <c r="R309" s="495"/>
      <c r="S309" s="495"/>
      <c r="T309" s="495"/>
      <c r="U309" s="495"/>
    </row>
    <row r="310" spans="2:21">
      <c r="B310" s="571" t="s">
        <v>13</v>
      </c>
      <c r="C310" s="572"/>
      <c r="D310" s="495" t="s">
        <v>532</v>
      </c>
      <c r="J310" s="630"/>
      <c r="K310" s="286"/>
      <c r="L310" s="286"/>
      <c r="M310" s="286"/>
      <c r="N310" s="286"/>
      <c r="O310" s="495"/>
      <c r="P310" s="495"/>
      <c r="Q310" s="495"/>
      <c r="R310" s="495"/>
      <c r="S310" s="495"/>
      <c r="T310" s="495"/>
      <c r="U310" s="495"/>
    </row>
    <row r="311" spans="2:21">
      <c r="B311" s="571"/>
      <c r="C311" s="572"/>
      <c r="D311" s="495"/>
      <c r="E311" s="495"/>
      <c r="F311" s="495"/>
      <c r="G311" s="495"/>
      <c r="H311" s="495"/>
      <c r="I311" s="495"/>
      <c r="J311" s="682"/>
      <c r="K311" s="286"/>
      <c r="L311" s="286"/>
      <c r="M311" s="286"/>
      <c r="N311" s="286"/>
      <c r="O311" s="495"/>
      <c r="P311" s="495"/>
      <c r="Q311" s="495"/>
      <c r="R311" s="495"/>
      <c r="S311" s="495"/>
      <c r="T311" s="495"/>
      <c r="U311" s="495"/>
    </row>
    <row r="312" spans="2:21">
      <c r="B312" s="571" t="s">
        <v>14</v>
      </c>
      <c r="C312" s="572"/>
      <c r="D312" s="495" t="s">
        <v>141</v>
      </c>
      <c r="E312" s="495"/>
      <c r="F312" s="495"/>
      <c r="G312" s="495"/>
      <c r="H312" s="495"/>
      <c r="I312" s="495"/>
      <c r="J312" s="682"/>
      <c r="K312" s="286"/>
      <c r="L312" s="286"/>
      <c r="M312" s="286"/>
      <c r="N312" s="286"/>
      <c r="O312" s="495"/>
      <c r="P312" s="495"/>
      <c r="Q312" s="495"/>
      <c r="R312" s="495"/>
      <c r="S312" s="495"/>
      <c r="T312" s="495"/>
      <c r="U312" s="495"/>
    </row>
    <row r="313" spans="2:21">
      <c r="B313" s="571"/>
      <c r="C313" s="572"/>
      <c r="D313" s="495"/>
      <c r="E313" s="495"/>
      <c r="F313" s="495"/>
      <c r="G313" s="495"/>
      <c r="H313" s="495"/>
      <c r="I313" s="495"/>
      <c r="J313" s="682"/>
      <c r="K313" s="286"/>
      <c r="L313" s="286"/>
      <c r="M313" s="286"/>
      <c r="N313" s="286"/>
      <c r="O313" s="495"/>
      <c r="P313" s="495"/>
      <c r="Q313" s="495"/>
      <c r="R313" s="495"/>
      <c r="S313" s="495"/>
      <c r="T313" s="495"/>
      <c r="U313" s="495"/>
    </row>
    <row r="314" spans="2:21" ht="20.25" customHeight="1">
      <c r="B314" s="636" t="s">
        <v>55</v>
      </c>
      <c r="C314" s="633"/>
      <c r="D314" s="495" t="str">
        <f>"Long Term Debt cost rate = Long-Term Interest (ln "&amp;B225&amp;") / Long Term Debt (ln "&amp;B235&amp;").  Preferred Stock cost rate = preferred dividends (ln "&amp;B226&amp;") / preferred outstanding (ln "&amp;B236&amp;")."</f>
        <v>Long Term Debt cost rate = Long-Term Interest (ln 132) / Long Term Debt (ln 141).  Preferred Stock cost rate = preferred dividends (ln 133) / preferred outstanding (ln 142).</v>
      </c>
      <c r="J314" s="630"/>
      <c r="M314" s="286"/>
      <c r="N314" s="286"/>
      <c r="O314" s="495"/>
      <c r="P314" s="495"/>
      <c r="Q314" s="495"/>
      <c r="R314" s="495"/>
      <c r="S314" s="495"/>
      <c r="T314" s="495"/>
      <c r="U314" s="495"/>
    </row>
    <row r="315" spans="2:21" ht="18" customHeight="1">
      <c r="D315" s="495" t="s">
        <v>1224</v>
      </c>
      <c r="J315" s="630"/>
      <c r="M315" s="286"/>
      <c r="N315" s="286"/>
      <c r="O315" s="495"/>
      <c r="P315" s="495"/>
      <c r="Q315" s="495"/>
      <c r="R315" s="495"/>
      <c r="S315" s="495"/>
      <c r="T315" s="495"/>
      <c r="U315" s="495"/>
    </row>
    <row r="316" spans="2:21" ht="17.25" customHeight="1">
      <c r="D316" s="495" t="s">
        <v>1225</v>
      </c>
      <c r="J316" s="630"/>
      <c r="M316" s="286"/>
      <c r="N316" s="286"/>
      <c r="O316" s="495"/>
      <c r="P316" s="495"/>
      <c r="Q316" s="495"/>
      <c r="R316" s="495"/>
      <c r="S316" s="495"/>
      <c r="T316" s="495"/>
      <c r="U316" s="495"/>
    </row>
    <row r="317" spans="2:21" ht="45" customHeight="1">
      <c r="D317" s="2263" t="s">
        <v>634</v>
      </c>
      <c r="E317" s="2263"/>
      <c r="F317" s="2263"/>
      <c r="G317" s="2263"/>
      <c r="H317" s="2263"/>
      <c r="I317" s="2263"/>
      <c r="J317" s="2263"/>
      <c r="M317" s="286"/>
      <c r="N317" s="286"/>
      <c r="O317" s="495"/>
      <c r="P317" s="495"/>
      <c r="Q317" s="495"/>
      <c r="R317" s="495"/>
      <c r="S317" s="495"/>
      <c r="T317" s="495"/>
      <c r="U317" s="495"/>
    </row>
    <row r="318" spans="2:21" ht="12" customHeight="1">
      <c r="D318" s="625"/>
      <c r="E318" s="625"/>
      <c r="F318" s="625"/>
      <c r="G318" s="625"/>
      <c r="H318" s="625"/>
      <c r="I318" s="625"/>
      <c r="J318" s="625"/>
      <c r="M318" s="286"/>
      <c r="N318" s="286"/>
      <c r="O318" s="495"/>
      <c r="P318" s="495"/>
      <c r="Q318" s="495"/>
      <c r="R318" s="495"/>
      <c r="S318" s="495"/>
      <c r="T318" s="495"/>
      <c r="U318" s="495"/>
    </row>
    <row r="319" spans="2:21">
      <c r="B319" s="571" t="s">
        <v>679</v>
      </c>
      <c r="C319" s="572"/>
      <c r="D319" s="403" t="s">
        <v>759</v>
      </c>
      <c r="M319" s="286"/>
      <c r="N319" s="286"/>
      <c r="O319" s="495"/>
      <c r="P319" s="495"/>
      <c r="Q319" s="495"/>
      <c r="R319" s="495"/>
      <c r="S319" s="495"/>
      <c r="T319" s="495"/>
      <c r="U319" s="495"/>
    </row>
    <row r="320" spans="2:21">
      <c r="B320" s="571"/>
      <c r="C320" s="572"/>
      <c r="M320" s="286"/>
      <c r="N320" s="286"/>
      <c r="O320" s="495"/>
      <c r="P320" s="495"/>
      <c r="Q320" s="495"/>
      <c r="R320" s="495"/>
      <c r="S320" s="495"/>
      <c r="T320" s="495"/>
      <c r="U320" s="495"/>
    </row>
    <row r="321" spans="2:21" ht="33.75" customHeight="1">
      <c r="B321" s="686" t="s">
        <v>760</v>
      </c>
      <c r="C321" s="687"/>
      <c r="D321" s="2264" t="s">
        <v>790</v>
      </c>
      <c r="E321" s="2264"/>
      <c r="F321" s="2264"/>
      <c r="G321" s="2264"/>
      <c r="H321" s="2264"/>
      <c r="I321" s="2264"/>
      <c r="J321" s="2264"/>
      <c r="M321" s="286"/>
      <c r="N321" s="286"/>
      <c r="O321" s="495"/>
      <c r="P321" s="495"/>
      <c r="Q321" s="495"/>
      <c r="R321" s="495"/>
      <c r="S321" s="495"/>
      <c r="T321" s="495"/>
      <c r="U321" s="495"/>
    </row>
    <row r="322" spans="2:21" ht="52.5" customHeight="1">
      <c r="B322" s="686" t="s">
        <v>959</v>
      </c>
      <c r="C322" s="687"/>
      <c r="D322" s="2264" t="s">
        <v>960</v>
      </c>
      <c r="E322" s="2264"/>
      <c r="F322" s="2264"/>
      <c r="G322" s="2264"/>
      <c r="H322" s="2264"/>
      <c r="I322" s="2264"/>
      <c r="J322" s="2264"/>
      <c r="M322" s="286"/>
      <c r="N322" s="286"/>
      <c r="O322" s="495"/>
      <c r="P322" s="495"/>
      <c r="Q322" s="495"/>
      <c r="R322" s="495"/>
      <c r="S322" s="495"/>
      <c r="T322" s="495"/>
      <c r="U322" s="495"/>
    </row>
    <row r="323" spans="2:21" ht="51" customHeight="1">
      <c r="B323" s="686" t="s">
        <v>961</v>
      </c>
      <c r="C323" s="687"/>
      <c r="D323" s="2264" t="s">
        <v>962</v>
      </c>
      <c r="E323" s="2264"/>
      <c r="F323" s="2264"/>
      <c r="G323" s="2264"/>
      <c r="H323" s="2264"/>
      <c r="I323" s="2264"/>
      <c r="J323" s="2264"/>
      <c r="M323" s="286"/>
      <c r="N323" s="286"/>
      <c r="O323" s="495"/>
      <c r="P323" s="495"/>
      <c r="Q323" s="495"/>
      <c r="R323" s="495"/>
      <c r="S323" s="495"/>
      <c r="T323" s="495"/>
      <c r="U323" s="495"/>
    </row>
    <row r="324" spans="2:21">
      <c r="B324" s="286"/>
      <c r="C324" s="286"/>
      <c r="D324" s="286"/>
      <c r="E324" s="286"/>
      <c r="F324" s="286"/>
      <c r="G324" s="286"/>
      <c r="H324" s="286"/>
      <c r="M324" s="286"/>
      <c r="N324" s="286"/>
      <c r="O324" s="495"/>
      <c r="P324" s="495"/>
      <c r="Q324" s="495"/>
      <c r="R324" s="495"/>
      <c r="S324" s="495"/>
      <c r="T324" s="495"/>
      <c r="U324" s="495"/>
    </row>
    <row r="325" spans="2:21">
      <c r="B325" s="286"/>
      <c r="C325" s="286"/>
      <c r="D325" s="286"/>
      <c r="E325" s="286"/>
      <c r="F325" s="286"/>
      <c r="G325" s="286"/>
      <c r="H325" s="286"/>
      <c r="M325" s="286"/>
      <c r="N325" s="286"/>
      <c r="O325" s="495"/>
      <c r="P325" s="495"/>
      <c r="Q325" s="495"/>
      <c r="R325" s="495"/>
      <c r="S325" s="495"/>
      <c r="T325" s="495"/>
      <c r="U325" s="495"/>
    </row>
    <row r="326" spans="2:21">
      <c r="B326" s="286"/>
      <c r="C326" s="286"/>
      <c r="D326" s="286"/>
      <c r="E326" s="286"/>
      <c r="F326" s="286"/>
      <c r="G326" s="286"/>
      <c r="H326" s="286"/>
      <c r="M326" s="286"/>
      <c r="N326" s="286"/>
      <c r="O326" s="495"/>
      <c r="P326" s="495"/>
      <c r="Q326" s="495"/>
      <c r="R326" s="495"/>
      <c r="S326" s="495"/>
      <c r="T326" s="495"/>
      <c r="U326" s="495"/>
    </row>
    <row r="327" spans="2:21">
      <c r="B327" s="286"/>
      <c r="C327" s="286"/>
      <c r="D327" s="286"/>
      <c r="E327" s="286"/>
      <c r="F327" s="286"/>
      <c r="G327" s="286"/>
      <c r="H327" s="286"/>
      <c r="M327" s="286"/>
      <c r="N327" s="286"/>
      <c r="O327" s="495"/>
      <c r="P327" s="495"/>
      <c r="Q327" s="495"/>
      <c r="R327" s="495"/>
      <c r="S327" s="495"/>
      <c r="T327" s="495"/>
      <c r="U327" s="495"/>
    </row>
    <row r="328" spans="2:21">
      <c r="B328" s="286"/>
      <c r="C328" s="286"/>
      <c r="D328" s="286"/>
      <c r="E328" s="286"/>
      <c r="F328" s="286"/>
      <c r="G328" s="286"/>
      <c r="H328" s="286"/>
      <c r="M328" s="286"/>
      <c r="N328" s="286"/>
      <c r="O328" s="495"/>
      <c r="P328" s="495"/>
      <c r="Q328" s="495"/>
      <c r="R328" s="495"/>
      <c r="S328" s="495"/>
      <c r="T328" s="495"/>
      <c r="U328" s="495"/>
    </row>
    <row r="329" spans="2:21">
      <c r="B329" s="286"/>
      <c r="C329" s="286"/>
      <c r="D329" s="286"/>
      <c r="E329" s="286"/>
      <c r="F329" s="286"/>
      <c r="G329" s="286"/>
      <c r="H329" s="286"/>
      <c r="M329" s="286"/>
      <c r="N329" s="286"/>
      <c r="O329" s="495"/>
      <c r="P329" s="495"/>
      <c r="Q329" s="495"/>
      <c r="R329" s="495"/>
      <c r="S329" s="495"/>
      <c r="T329" s="495"/>
      <c r="U329" s="495"/>
    </row>
    <row r="330" spans="2:21">
      <c r="B330" s="286"/>
      <c r="C330" s="286"/>
      <c r="D330" s="286"/>
      <c r="E330" s="286"/>
      <c r="F330" s="286"/>
      <c r="G330" s="286"/>
      <c r="H330" s="286"/>
      <c r="M330" s="286"/>
      <c r="N330" s="286"/>
      <c r="O330" s="495"/>
      <c r="P330" s="495"/>
      <c r="Q330" s="495"/>
      <c r="R330" s="495"/>
      <c r="S330" s="495"/>
      <c r="T330" s="495"/>
      <c r="U330" s="495"/>
    </row>
    <row r="331" spans="2:21">
      <c r="B331" s="286"/>
      <c r="C331" s="286"/>
      <c r="D331" s="286"/>
      <c r="E331" s="286"/>
      <c r="F331" s="286"/>
      <c r="G331" s="286"/>
      <c r="H331" s="286"/>
      <c r="M331" s="286"/>
      <c r="N331" s="286"/>
      <c r="O331" s="495"/>
      <c r="P331" s="495"/>
      <c r="Q331" s="495"/>
      <c r="R331" s="495"/>
      <c r="S331" s="495"/>
      <c r="T331" s="495"/>
      <c r="U331" s="495"/>
    </row>
    <row r="332" spans="2:21">
      <c r="B332" s="571"/>
      <c r="C332" s="572"/>
      <c r="M332" s="286"/>
      <c r="N332" s="286"/>
      <c r="O332" s="495"/>
      <c r="P332" s="495"/>
      <c r="Q332" s="495"/>
      <c r="R332" s="495"/>
      <c r="S332" s="495"/>
      <c r="T332" s="495"/>
      <c r="U332" s="495"/>
    </row>
    <row r="333" spans="2:21">
      <c r="B333" s="497"/>
      <c r="M333" s="286"/>
      <c r="N333" s="286"/>
      <c r="O333" s="495"/>
      <c r="P333" s="495"/>
      <c r="Q333" s="495"/>
      <c r="R333" s="495"/>
      <c r="S333" s="495"/>
      <c r="T333" s="495"/>
      <c r="U333" s="495"/>
    </row>
    <row r="334" spans="2:21">
      <c r="B334" s="497"/>
      <c r="M334" s="286"/>
      <c r="N334" s="286"/>
      <c r="O334" s="495"/>
      <c r="P334" s="495"/>
      <c r="Q334" s="495"/>
      <c r="R334" s="495"/>
      <c r="S334" s="495"/>
      <c r="T334" s="495"/>
      <c r="U334" s="495"/>
    </row>
    <row r="335" spans="2:21">
      <c r="B335" s="497"/>
      <c r="M335" s="286"/>
      <c r="N335" s="286"/>
      <c r="O335" s="495"/>
      <c r="P335" s="495"/>
      <c r="Q335" s="495"/>
      <c r="R335" s="495"/>
      <c r="S335" s="495"/>
      <c r="T335" s="495"/>
      <c r="U335" s="495"/>
    </row>
    <row r="336" spans="2:21">
      <c r="B336" s="497"/>
      <c r="H336" s="495"/>
      <c r="I336" s="495"/>
      <c r="J336" s="495"/>
      <c r="K336" s="495"/>
      <c r="L336" s="495"/>
      <c r="M336" s="286"/>
      <c r="N336" s="286"/>
      <c r="O336" s="495"/>
      <c r="P336" s="495"/>
      <c r="Q336" s="495"/>
      <c r="R336" s="495"/>
      <c r="S336" s="495"/>
      <c r="T336" s="495"/>
      <c r="U336" s="495"/>
    </row>
    <row r="337" spans="2:21">
      <c r="B337" s="497"/>
      <c r="H337" s="495"/>
      <c r="K337" s="495"/>
      <c r="L337" s="495"/>
      <c r="M337" s="286"/>
      <c r="N337" s="286"/>
      <c r="O337" s="495"/>
      <c r="P337" s="495"/>
      <c r="Q337" s="495"/>
      <c r="R337" s="495"/>
      <c r="S337" s="495"/>
      <c r="T337" s="495"/>
      <c r="U337" s="495"/>
    </row>
    <row r="338" spans="2:21">
      <c r="B338" s="497"/>
      <c r="H338" s="495"/>
      <c r="I338" s="495"/>
      <c r="J338" s="643"/>
      <c r="K338" s="495"/>
      <c r="L338" s="495"/>
      <c r="M338" s="286"/>
      <c r="N338" s="286"/>
      <c r="O338" s="495"/>
      <c r="P338" s="495"/>
      <c r="Q338" s="495"/>
      <c r="R338" s="495"/>
      <c r="S338" s="495"/>
      <c r="T338" s="495"/>
      <c r="U338" s="495"/>
    </row>
    <row r="339" spans="2:21">
      <c r="B339" s="497"/>
      <c r="H339" s="495"/>
      <c r="I339" s="572"/>
      <c r="J339" s="643"/>
      <c r="K339" s="495"/>
      <c r="L339" s="495"/>
      <c r="M339" s="286"/>
      <c r="N339" s="286"/>
      <c r="O339" s="495"/>
      <c r="P339" s="495"/>
      <c r="Q339" s="495"/>
      <c r="R339" s="495"/>
      <c r="S339" s="495"/>
      <c r="T339" s="495"/>
      <c r="U339" s="495"/>
    </row>
    <row r="340" spans="2:21">
      <c r="B340" s="497"/>
      <c r="H340" s="495"/>
      <c r="I340" s="572"/>
      <c r="J340" s="643"/>
      <c r="K340" s="495"/>
      <c r="L340" s="495"/>
      <c r="M340" s="286"/>
      <c r="N340" s="286"/>
      <c r="O340" s="495"/>
      <c r="P340" s="495"/>
      <c r="Q340" s="495"/>
      <c r="R340" s="495"/>
      <c r="S340" s="495"/>
      <c r="T340" s="495"/>
      <c r="U340" s="495"/>
    </row>
    <row r="341" spans="2:21">
      <c r="B341" s="497"/>
      <c r="H341" s="495"/>
      <c r="I341" s="572"/>
      <c r="J341" s="643"/>
      <c r="K341" s="495"/>
      <c r="L341" s="495"/>
      <c r="M341" s="286"/>
      <c r="N341" s="286"/>
      <c r="O341" s="495"/>
      <c r="P341" s="495"/>
      <c r="Q341" s="495"/>
      <c r="R341" s="495"/>
      <c r="S341" s="495"/>
      <c r="T341" s="495"/>
      <c r="U341" s="495"/>
    </row>
    <row r="342" spans="2:21">
      <c r="B342" s="688"/>
      <c r="C342" s="495"/>
      <c r="D342" s="495"/>
      <c r="E342" s="495"/>
      <c r="F342" s="495"/>
      <c r="G342" s="495"/>
      <c r="H342" s="495"/>
      <c r="I342" s="572"/>
      <c r="J342" s="689"/>
      <c r="K342" s="495"/>
      <c r="L342" s="495"/>
      <c r="M342" s="286"/>
      <c r="N342" s="286"/>
      <c r="O342" s="495"/>
      <c r="P342" s="495"/>
      <c r="Q342" s="495"/>
      <c r="R342" s="495"/>
      <c r="S342" s="495"/>
      <c r="T342" s="495"/>
      <c r="U342" s="495"/>
    </row>
    <row r="343" spans="2:21">
      <c r="B343" s="688"/>
      <c r="C343" s="495"/>
      <c r="D343" s="495"/>
      <c r="E343" s="495"/>
      <c r="F343" s="495"/>
      <c r="G343" s="495"/>
      <c r="H343" s="495"/>
      <c r="I343" s="572"/>
      <c r="J343" s="643"/>
      <c r="K343" s="495"/>
      <c r="L343" s="495"/>
      <c r="M343" s="286"/>
      <c r="N343" s="286"/>
      <c r="O343" s="495"/>
      <c r="P343" s="495"/>
      <c r="Q343" s="495"/>
      <c r="R343" s="495"/>
      <c r="S343" s="495"/>
      <c r="T343" s="495"/>
      <c r="U343" s="495"/>
    </row>
    <row r="344" spans="2:21">
      <c r="B344" s="688"/>
      <c r="C344" s="495"/>
      <c r="D344" s="495"/>
      <c r="E344" s="495"/>
      <c r="F344" s="495"/>
      <c r="G344" s="495"/>
      <c r="H344" s="495"/>
      <c r="I344" s="572"/>
      <c r="J344" s="643"/>
      <c r="K344" s="495"/>
      <c r="L344" s="495"/>
      <c r="M344" s="286"/>
      <c r="N344" s="286"/>
      <c r="O344" s="495"/>
      <c r="P344" s="495"/>
      <c r="Q344" s="495"/>
      <c r="R344" s="495"/>
      <c r="S344" s="495"/>
      <c r="T344" s="495"/>
      <c r="U344" s="495"/>
    </row>
    <row r="345" spans="2:21">
      <c r="I345" s="572"/>
      <c r="J345" s="643"/>
      <c r="M345" s="286"/>
      <c r="N345" s="286"/>
    </row>
    <row r="346" spans="2:21">
      <c r="I346" s="572"/>
      <c r="J346" s="643"/>
      <c r="M346" s="286"/>
      <c r="N346" s="286"/>
    </row>
    <row r="347" spans="2:21">
      <c r="M347" s="286"/>
      <c r="N347" s="286"/>
    </row>
    <row r="348" spans="2:21">
      <c r="M348" s="286"/>
      <c r="N348" s="286"/>
    </row>
    <row r="349" spans="2:21">
      <c r="M349" s="286"/>
      <c r="N349" s="286"/>
    </row>
    <row r="350" spans="2:21">
      <c r="M350" s="286"/>
      <c r="N350" s="286"/>
    </row>
    <row r="351" spans="2:21">
      <c r="M351" s="286"/>
      <c r="N351" s="286"/>
    </row>
    <row r="352" spans="2:21">
      <c r="M352" s="286"/>
      <c r="N352" s="286"/>
    </row>
    <row r="353" spans="13:14">
      <c r="M353" s="286"/>
      <c r="N353" s="286"/>
    </row>
    <row r="354" spans="13:14">
      <c r="M354" s="286"/>
      <c r="N354" s="286"/>
    </row>
    <row r="355" spans="13:14">
      <c r="M355" s="286"/>
      <c r="N355" s="286"/>
    </row>
    <row r="356" spans="13:14">
      <c r="M356" s="286"/>
      <c r="N356" s="286"/>
    </row>
    <row r="357" spans="13:14">
      <c r="M357" s="286"/>
      <c r="N357" s="286"/>
    </row>
    <row r="358" spans="13:14">
      <c r="M358" s="286"/>
      <c r="N358" s="286"/>
    </row>
    <row r="359" spans="13:14">
      <c r="M359" s="286"/>
      <c r="N359" s="286"/>
    </row>
    <row r="360" spans="13:14">
      <c r="M360" s="286"/>
      <c r="N360" s="286"/>
    </row>
    <row r="361" spans="13:14">
      <c r="M361" s="286"/>
      <c r="N361" s="286"/>
    </row>
    <row r="362" spans="13:14">
      <c r="M362" s="286"/>
      <c r="N362" s="286"/>
    </row>
    <row r="363" spans="13:14">
      <c r="M363" s="286"/>
      <c r="N363" s="286"/>
    </row>
    <row r="364" spans="13:14">
      <c r="M364" s="286"/>
      <c r="N364" s="286"/>
    </row>
    <row r="365" spans="13:14">
      <c r="M365" s="286"/>
      <c r="N365" s="286"/>
    </row>
    <row r="366" spans="13:14">
      <c r="M366" s="286"/>
      <c r="N366" s="286"/>
    </row>
    <row r="367" spans="13:14">
      <c r="M367" s="286"/>
      <c r="N367" s="286"/>
    </row>
    <row r="368" spans="13:14">
      <c r="M368" s="286"/>
      <c r="N368" s="286"/>
    </row>
    <row r="369" spans="13:14">
      <c r="M369" s="286"/>
      <c r="N369" s="286"/>
    </row>
    <row r="370" spans="13:14">
      <c r="M370" s="286"/>
      <c r="N370" s="286"/>
    </row>
    <row r="371" spans="13:14">
      <c r="M371" s="286"/>
      <c r="N371" s="286"/>
    </row>
    <row r="372" spans="13:14">
      <c r="M372" s="286"/>
      <c r="N372" s="286"/>
    </row>
    <row r="373" spans="13:14">
      <c r="M373" s="286"/>
      <c r="N373" s="286"/>
    </row>
    <row r="374" spans="13:14">
      <c r="M374" s="286"/>
      <c r="N374" s="286"/>
    </row>
    <row r="375" spans="13:14">
      <c r="M375" s="286"/>
      <c r="N375" s="286"/>
    </row>
    <row r="376" spans="13:14">
      <c r="M376" s="286"/>
      <c r="N376" s="286"/>
    </row>
    <row r="377" spans="13:14">
      <c r="M377" s="286"/>
      <c r="N377" s="286"/>
    </row>
    <row r="378" spans="13:14">
      <c r="M378" s="286"/>
      <c r="N378" s="286"/>
    </row>
    <row r="379" spans="13:14">
      <c r="M379" s="286"/>
      <c r="N379" s="286"/>
    </row>
    <row r="380" spans="13:14">
      <c r="M380" s="286"/>
      <c r="N380" s="286"/>
    </row>
    <row r="381" spans="13:14">
      <c r="M381" s="286"/>
      <c r="N381" s="286"/>
    </row>
    <row r="382" spans="13:14">
      <c r="M382" s="286"/>
      <c r="N382" s="286"/>
    </row>
    <row r="383" spans="13:14">
      <c r="M383" s="286"/>
      <c r="N383" s="286"/>
    </row>
    <row r="384" spans="13:14">
      <c r="M384" s="286"/>
      <c r="N384" s="286"/>
    </row>
    <row r="385" spans="13:14">
      <c r="M385" s="286"/>
      <c r="N385" s="286"/>
    </row>
    <row r="386" spans="13:14">
      <c r="M386" s="286"/>
      <c r="N386" s="286"/>
    </row>
    <row r="387" spans="13:14">
      <c r="M387" s="286"/>
      <c r="N387" s="286"/>
    </row>
    <row r="388" spans="13:14">
      <c r="M388" s="286"/>
      <c r="N388" s="286"/>
    </row>
    <row r="389" spans="13:14">
      <c r="M389" s="286"/>
      <c r="N389" s="286"/>
    </row>
    <row r="390" spans="13:14">
      <c r="M390" s="286"/>
      <c r="N390" s="286"/>
    </row>
    <row r="391" spans="13:14">
      <c r="M391" s="286"/>
      <c r="N391" s="286"/>
    </row>
    <row r="392" spans="13:14">
      <c r="M392" s="286"/>
      <c r="N392" s="286"/>
    </row>
    <row r="393" spans="13:14">
      <c r="M393" s="286"/>
      <c r="N393" s="286"/>
    </row>
    <row r="394" spans="13:14">
      <c r="M394" s="286"/>
      <c r="N394" s="286"/>
    </row>
    <row r="395" spans="13:14">
      <c r="M395" s="286"/>
      <c r="N395" s="286"/>
    </row>
    <row r="396" spans="13:14">
      <c r="M396" s="286"/>
      <c r="N396" s="286"/>
    </row>
    <row r="397" spans="13:14">
      <c r="M397" s="286"/>
      <c r="N397" s="286"/>
    </row>
    <row r="398" spans="13:14">
      <c r="M398" s="286"/>
      <c r="N398" s="286"/>
    </row>
    <row r="399" spans="13:14">
      <c r="M399" s="286"/>
      <c r="N399" s="286"/>
    </row>
    <row r="400" spans="13:14">
      <c r="M400" s="286"/>
      <c r="N400" s="286"/>
    </row>
    <row r="401" spans="13:14">
      <c r="M401" s="286"/>
      <c r="N401" s="286"/>
    </row>
    <row r="402" spans="13:14">
      <c r="M402" s="286"/>
      <c r="N402" s="286"/>
    </row>
    <row r="403" spans="13:14">
      <c r="M403" s="286"/>
      <c r="N403" s="286"/>
    </row>
    <row r="404" spans="13:14">
      <c r="M404" s="286"/>
      <c r="N404" s="286"/>
    </row>
    <row r="405" spans="13:14">
      <c r="M405" s="286"/>
      <c r="N405" s="286"/>
    </row>
    <row r="406" spans="13:14">
      <c r="M406" s="286"/>
      <c r="N406" s="286"/>
    </row>
    <row r="407" spans="13:14">
      <c r="M407" s="286"/>
      <c r="N407" s="286"/>
    </row>
    <row r="408" spans="13:14">
      <c r="M408" s="286"/>
      <c r="N408" s="286"/>
    </row>
    <row r="409" spans="13:14">
      <c r="M409" s="286"/>
      <c r="N409" s="286"/>
    </row>
    <row r="410" spans="13:14">
      <c r="M410" s="286"/>
      <c r="N410" s="286"/>
    </row>
    <row r="411" spans="13:14">
      <c r="M411" s="286"/>
      <c r="N411" s="286"/>
    </row>
    <row r="412" spans="13:14">
      <c r="M412" s="286"/>
      <c r="N412" s="286"/>
    </row>
    <row r="413" spans="13:14">
      <c r="M413" s="286"/>
      <c r="N413" s="286"/>
    </row>
    <row r="414" spans="13:14">
      <c r="M414" s="286"/>
      <c r="N414" s="286"/>
    </row>
    <row r="415" spans="13:14">
      <c r="M415" s="286"/>
      <c r="N415" s="286"/>
    </row>
    <row r="416" spans="13:14">
      <c r="M416" s="286"/>
      <c r="N416" s="286"/>
    </row>
    <row r="417" spans="13:14">
      <c r="M417" s="286"/>
      <c r="N417" s="286"/>
    </row>
    <row r="418" spans="13:14">
      <c r="M418" s="286"/>
      <c r="N418" s="286"/>
    </row>
    <row r="419" spans="13:14">
      <c r="M419" s="286"/>
      <c r="N419" s="286"/>
    </row>
    <row r="420" spans="13:14">
      <c r="M420" s="286"/>
      <c r="N420" s="286"/>
    </row>
    <row r="421" spans="13:14">
      <c r="M421" s="286"/>
      <c r="N421" s="286"/>
    </row>
    <row r="422" spans="13:14">
      <c r="M422" s="286"/>
      <c r="N422" s="286"/>
    </row>
    <row r="423" spans="13:14">
      <c r="M423" s="286"/>
      <c r="N423" s="286"/>
    </row>
    <row r="424" spans="13:14">
      <c r="M424" s="286"/>
      <c r="N424" s="286"/>
    </row>
    <row r="425" spans="13:14">
      <c r="M425" s="286"/>
      <c r="N425" s="286"/>
    </row>
    <row r="426" spans="13:14">
      <c r="M426" s="286"/>
      <c r="N426" s="286"/>
    </row>
    <row r="427" spans="13:14">
      <c r="M427" s="286"/>
      <c r="N427" s="286"/>
    </row>
    <row r="428" spans="13:14">
      <c r="M428" s="286"/>
      <c r="N428" s="286"/>
    </row>
    <row r="429" spans="13:14">
      <c r="M429" s="286"/>
      <c r="N429" s="286"/>
    </row>
    <row r="430" spans="13:14">
      <c r="M430" s="286"/>
      <c r="N430" s="286"/>
    </row>
    <row r="431" spans="13:14">
      <c r="M431" s="286"/>
      <c r="N431" s="286"/>
    </row>
    <row r="432" spans="13:14">
      <c r="M432" s="286"/>
      <c r="N432" s="286"/>
    </row>
    <row r="433" spans="13:14">
      <c r="M433" s="286"/>
      <c r="N433" s="286"/>
    </row>
    <row r="434" spans="13:14">
      <c r="M434" s="286"/>
      <c r="N434" s="286"/>
    </row>
    <row r="435" spans="13:14">
      <c r="M435" s="286"/>
      <c r="N435" s="286"/>
    </row>
    <row r="436" spans="13:14">
      <c r="M436" s="286"/>
      <c r="N436" s="286"/>
    </row>
    <row r="437" spans="13:14">
      <c r="M437" s="286"/>
      <c r="N437" s="286"/>
    </row>
    <row r="438" spans="13:14">
      <c r="M438" s="286"/>
      <c r="N438" s="286"/>
    </row>
    <row r="439" spans="13:14">
      <c r="M439" s="286"/>
      <c r="N439" s="286"/>
    </row>
    <row r="440" spans="13:14">
      <c r="M440" s="286"/>
      <c r="N440" s="286"/>
    </row>
    <row r="441" spans="13:14">
      <c r="M441" s="286"/>
      <c r="N441" s="286"/>
    </row>
    <row r="442" spans="13:14">
      <c r="M442" s="286"/>
      <c r="N442" s="286"/>
    </row>
    <row r="443" spans="13:14">
      <c r="M443" s="286"/>
      <c r="N443" s="286"/>
    </row>
    <row r="444" spans="13:14">
      <c r="M444" s="286"/>
      <c r="N444" s="286"/>
    </row>
    <row r="445" spans="13:14">
      <c r="M445" s="286"/>
      <c r="N445" s="286"/>
    </row>
    <row r="446" spans="13:14">
      <c r="M446" s="286"/>
      <c r="N446" s="286"/>
    </row>
    <row r="447" spans="13:14">
      <c r="M447" s="286"/>
      <c r="N447" s="286"/>
    </row>
    <row r="448" spans="13:14">
      <c r="M448" s="286"/>
      <c r="N448" s="286"/>
    </row>
    <row r="449" spans="13:14">
      <c r="M449" s="286"/>
      <c r="N449" s="286"/>
    </row>
    <row r="450" spans="13:14">
      <c r="M450" s="286"/>
      <c r="N450" s="286"/>
    </row>
    <row r="451" spans="13:14">
      <c r="M451" s="286"/>
      <c r="N451" s="286"/>
    </row>
    <row r="452" spans="13:14">
      <c r="M452" s="286"/>
      <c r="N452" s="286"/>
    </row>
    <row r="453" spans="13:14">
      <c r="M453" s="286"/>
      <c r="N453" s="286"/>
    </row>
    <row r="454" spans="13:14">
      <c r="M454" s="286"/>
      <c r="N454" s="286"/>
    </row>
    <row r="455" spans="13:14">
      <c r="M455" s="286"/>
      <c r="N455" s="286"/>
    </row>
    <row r="456" spans="13:14">
      <c r="M456" s="286"/>
      <c r="N456" s="286"/>
    </row>
    <row r="457" spans="13:14">
      <c r="M457" s="286"/>
      <c r="N457" s="286"/>
    </row>
    <row r="458" spans="13:14">
      <c r="M458" s="286"/>
      <c r="N458" s="286"/>
    </row>
    <row r="459" spans="13:14">
      <c r="M459" s="286"/>
      <c r="N459" s="286"/>
    </row>
    <row r="460" spans="13:14">
      <c r="M460" s="286"/>
      <c r="N460" s="286"/>
    </row>
    <row r="461" spans="13:14">
      <c r="M461" s="286"/>
      <c r="N461" s="286"/>
    </row>
    <row r="462" spans="13:14">
      <c r="M462" s="286"/>
      <c r="N462" s="286"/>
    </row>
    <row r="463" spans="13:14">
      <c r="M463" s="286"/>
      <c r="N463" s="286"/>
    </row>
    <row r="464" spans="13:14">
      <c r="M464" s="286"/>
      <c r="N464" s="286"/>
    </row>
    <row r="465" spans="13:14">
      <c r="M465" s="286"/>
      <c r="N465" s="286"/>
    </row>
    <row r="466" spans="13:14">
      <c r="M466" s="286"/>
      <c r="N466" s="286"/>
    </row>
    <row r="467" spans="13:14">
      <c r="M467" s="286"/>
      <c r="N467" s="286"/>
    </row>
    <row r="468" spans="13:14">
      <c r="M468" s="286"/>
      <c r="N468" s="286"/>
    </row>
    <row r="469" spans="13:14">
      <c r="M469" s="286"/>
      <c r="N469" s="286"/>
    </row>
    <row r="470" spans="13:14">
      <c r="M470" s="286"/>
      <c r="N470" s="286"/>
    </row>
    <row r="471" spans="13:14">
      <c r="M471" s="286"/>
      <c r="N471" s="286"/>
    </row>
    <row r="472" spans="13:14">
      <c r="M472" s="286"/>
      <c r="N472" s="286"/>
    </row>
    <row r="473" spans="13:14">
      <c r="M473" s="286"/>
      <c r="N473" s="286"/>
    </row>
    <row r="474" spans="13:14">
      <c r="M474" s="286"/>
      <c r="N474" s="286"/>
    </row>
    <row r="475" spans="13:14">
      <c r="M475" s="286"/>
      <c r="N475" s="286"/>
    </row>
    <row r="476" spans="13:14">
      <c r="M476" s="286"/>
      <c r="N476" s="286"/>
    </row>
    <row r="477" spans="13:14">
      <c r="M477" s="286"/>
      <c r="N477" s="286"/>
    </row>
    <row r="478" spans="13:14">
      <c r="M478" s="286"/>
      <c r="N478" s="286"/>
    </row>
    <row r="479" spans="13:14">
      <c r="M479" s="286"/>
      <c r="N479" s="286"/>
    </row>
    <row r="480" spans="13:14">
      <c r="M480" s="286"/>
      <c r="N480" s="286"/>
    </row>
    <row r="481" spans="13:14">
      <c r="M481" s="286"/>
      <c r="N481" s="286"/>
    </row>
    <row r="482" spans="13:14">
      <c r="M482" s="286"/>
      <c r="N482" s="286"/>
    </row>
    <row r="483" spans="13:14">
      <c r="M483" s="286"/>
      <c r="N483" s="286"/>
    </row>
    <row r="484" spans="13:14">
      <c r="M484" s="286"/>
      <c r="N484" s="286"/>
    </row>
    <row r="485" spans="13:14">
      <c r="M485" s="286"/>
      <c r="N485" s="286"/>
    </row>
    <row r="486" spans="13:14">
      <c r="M486" s="286"/>
      <c r="N486" s="286"/>
    </row>
    <row r="487" spans="13:14">
      <c r="M487" s="286"/>
      <c r="N487" s="286"/>
    </row>
    <row r="488" spans="13:14">
      <c r="M488" s="286"/>
      <c r="N488" s="286"/>
    </row>
    <row r="489" spans="13:14">
      <c r="M489" s="286"/>
      <c r="N489" s="286"/>
    </row>
    <row r="490" spans="13:14">
      <c r="M490" s="286"/>
      <c r="N490" s="286"/>
    </row>
    <row r="491" spans="13:14">
      <c r="M491" s="286"/>
      <c r="N491" s="286"/>
    </row>
    <row r="492" spans="13:14">
      <c r="M492" s="286"/>
      <c r="N492" s="286"/>
    </row>
    <row r="493" spans="13:14">
      <c r="M493" s="286"/>
      <c r="N493" s="286"/>
    </row>
    <row r="494" spans="13:14">
      <c r="M494" s="286"/>
      <c r="N494" s="286"/>
    </row>
    <row r="495" spans="13:14">
      <c r="M495" s="286"/>
      <c r="N495" s="286"/>
    </row>
    <row r="496" spans="13:14">
      <c r="M496" s="286"/>
      <c r="N496" s="286"/>
    </row>
    <row r="497" spans="13:14">
      <c r="M497" s="286"/>
      <c r="N497" s="286"/>
    </row>
    <row r="498" spans="13:14">
      <c r="M498" s="286"/>
      <c r="N498" s="286"/>
    </row>
    <row r="499" spans="13:14">
      <c r="M499" s="286"/>
      <c r="N499" s="286"/>
    </row>
    <row r="500" spans="13:14">
      <c r="M500" s="286"/>
      <c r="N500" s="286"/>
    </row>
    <row r="501" spans="13:14">
      <c r="M501" s="286"/>
      <c r="N501" s="286"/>
    </row>
    <row r="502" spans="13:14">
      <c r="M502" s="286"/>
      <c r="N502" s="286"/>
    </row>
  </sheetData>
  <mergeCells count="16">
    <mergeCell ref="I125:J125"/>
    <mergeCell ref="B20:I21"/>
    <mergeCell ref="D23:E24"/>
    <mergeCell ref="I48:J48"/>
    <mergeCell ref="I51:J51"/>
    <mergeCell ref="I122:J122"/>
    <mergeCell ref="D322:J322"/>
    <mergeCell ref="D323:J323"/>
    <mergeCell ref="D321:J321"/>
    <mergeCell ref="D262:J263"/>
    <mergeCell ref="D278:J278"/>
    <mergeCell ref="D289:J289"/>
    <mergeCell ref="D291:J291"/>
    <mergeCell ref="D302:J302"/>
    <mergeCell ref="D308:J308"/>
    <mergeCell ref="D317:J317"/>
  </mergeCells>
  <printOptions horizontalCentered="1"/>
  <pageMargins left="0.25" right="0.25" top="1" bottom="1" header="0.65" footer="0.25"/>
  <pageSetup scale="34"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14" max="11" man="1"/>
    <brk id="194" max="11" man="1"/>
    <brk id="239" max="1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57"/>
  <sheetViews>
    <sheetView topLeftCell="A33" zoomScaleNormal="100" zoomScaleSheetLayoutView="70" zoomScalePageLayoutView="80" workbookViewId="0">
      <selection activeCell="G50" sqref="G50"/>
    </sheetView>
  </sheetViews>
  <sheetFormatPr defaultColWidth="11.453125" defaultRowHeight="12.5"/>
  <cols>
    <col min="1" max="1" width="10.453125" style="1308" customWidth="1"/>
    <col min="2" max="2" width="39.81640625" style="1282" customWidth="1"/>
    <col min="3" max="3" width="21.1796875" style="1282" customWidth="1"/>
    <col min="4" max="4" width="19.453125" style="1282" customWidth="1"/>
    <col min="5" max="5" width="18.81640625" style="1282" customWidth="1"/>
    <col min="6" max="6" width="18" style="1282" customWidth="1"/>
    <col min="7" max="7" width="20.453125" style="1282" customWidth="1"/>
    <col min="8" max="8" width="17.1796875" style="1282" customWidth="1"/>
    <col min="9" max="9" width="16" style="1282" customWidth="1"/>
    <col min="10" max="15" width="20.453125" style="1282" customWidth="1"/>
    <col min="16" max="16" width="20" style="1282" customWidth="1"/>
    <col min="17" max="18" width="15.1796875" style="1282" customWidth="1"/>
    <col min="19" max="16384" width="11.453125" style="1282"/>
  </cols>
  <sheetData>
    <row r="1" spans="1:16" ht="15.5">
      <c r="A1" s="1281"/>
    </row>
    <row r="2" spans="1:16" ht="15.5">
      <c r="A2" s="2402" t="str">
        <f>'SWEPCO TCOS'!F4</f>
        <v xml:space="preserve">AEP West SPP Member Operating Companies </v>
      </c>
      <c r="B2" s="2402"/>
      <c r="C2" s="2402"/>
      <c r="D2" s="2402"/>
      <c r="E2" s="2402"/>
      <c r="F2" s="2402"/>
      <c r="G2" s="2402"/>
      <c r="H2" s="2402"/>
      <c r="I2" s="1283"/>
      <c r="J2" s="1283"/>
      <c r="K2" s="1283"/>
      <c r="L2" s="1284"/>
      <c r="M2" s="1284"/>
    </row>
    <row r="3" spans="1:16" ht="15.5">
      <c r="A3" s="2402" t="str">
        <f>"Actual / Projected "&amp;'SWEPCO TCOS'!$N$2&amp;" Rate Year Cost of Service Formula Rate "</f>
        <v xml:space="preserve">Actual / Projected 2024 Rate Year Cost of Service Formula Rate </v>
      </c>
      <c r="B3" s="2402"/>
      <c r="C3" s="2402"/>
      <c r="D3" s="2402"/>
      <c r="E3" s="2402"/>
      <c r="F3" s="2402"/>
      <c r="G3" s="2402"/>
      <c r="H3" s="2402"/>
      <c r="I3" s="1283"/>
      <c r="J3" s="1283"/>
      <c r="K3" s="1283"/>
      <c r="L3" s="1284"/>
      <c r="M3" s="1284"/>
      <c r="N3" s="1284"/>
      <c r="P3" s="1285"/>
    </row>
    <row r="4" spans="1:16" ht="15.5">
      <c r="A4" s="2403" t="s">
        <v>754</v>
      </c>
      <c r="B4" s="2403"/>
      <c r="C4" s="2403"/>
      <c r="D4" s="2403"/>
      <c r="E4" s="2403"/>
      <c r="F4" s="2403"/>
      <c r="G4" s="2403"/>
      <c r="H4" s="2403"/>
      <c r="I4" s="1283"/>
      <c r="J4" s="1283"/>
      <c r="K4" s="1283"/>
      <c r="L4" s="1284"/>
      <c r="M4" s="1284"/>
      <c r="N4" s="1284"/>
    </row>
    <row r="5" spans="1:16" ht="15.5">
      <c r="A5" s="2404" t="str">
        <f>+'SWEPCO TCOS'!$F$8</f>
        <v>SOUTHWESTERN ELECTRIC POWER COMPANY</v>
      </c>
      <c r="B5" s="2404"/>
      <c r="C5" s="2404"/>
      <c r="D5" s="2404"/>
      <c r="E5" s="2404"/>
      <c r="F5" s="2404"/>
      <c r="G5" s="2404"/>
      <c r="H5" s="2404"/>
      <c r="I5" s="1286"/>
      <c r="J5" s="1286"/>
      <c r="K5" s="1286"/>
      <c r="L5" s="1284"/>
      <c r="M5" s="1284"/>
      <c r="N5" s="1284"/>
    </row>
    <row r="6" spans="1:16" ht="13">
      <c r="A6" s="1284"/>
      <c r="B6" s="219"/>
      <c r="C6" s="2081"/>
      <c r="D6" s="2081"/>
      <c r="E6" s="2081"/>
      <c r="F6" s="2081"/>
      <c r="G6" s="2081"/>
      <c r="H6" s="2081"/>
      <c r="I6" s="1287"/>
      <c r="J6" s="227"/>
      <c r="L6" s="227"/>
      <c r="N6" s="227"/>
      <c r="P6" s="227"/>
    </row>
    <row r="7" spans="1:16" ht="12.75" customHeight="1">
      <c r="A7" s="1284"/>
      <c r="B7" s="219"/>
      <c r="C7" s="2371" t="s">
        <v>747</v>
      </c>
      <c r="D7" s="2372"/>
      <c r="E7" s="2372"/>
      <c r="F7" s="2372"/>
      <c r="G7" s="2372"/>
      <c r="H7" s="2373"/>
      <c r="I7"/>
      <c r="J7"/>
      <c r="K7"/>
      <c r="L7"/>
      <c r="M7"/>
      <c r="N7"/>
      <c r="O7"/>
    </row>
    <row r="8" spans="1:16" s="1291" customFormat="1" ht="25.5">
      <c r="A8" s="1288" t="s">
        <v>722</v>
      </c>
      <c r="B8" s="221" t="s">
        <v>705</v>
      </c>
      <c r="C8" s="1822" t="s">
        <v>723</v>
      </c>
      <c r="D8" s="1289" t="s">
        <v>724</v>
      </c>
      <c r="E8" s="1289" t="s">
        <v>255</v>
      </c>
      <c r="F8" s="1289" t="s">
        <v>725</v>
      </c>
      <c r="G8" s="1289" t="s">
        <v>726</v>
      </c>
      <c r="H8" s="1290" t="s">
        <v>727</v>
      </c>
      <c r="I8"/>
      <c r="J8"/>
      <c r="K8"/>
      <c r="L8"/>
      <c r="M8"/>
      <c r="N8"/>
      <c r="O8"/>
      <c r="P8" s="1282"/>
    </row>
    <row r="9" spans="1:16" s="1293" customFormat="1" ht="13">
      <c r="A9" s="1292"/>
      <c r="B9" s="225" t="s">
        <v>731</v>
      </c>
      <c r="C9" s="226" t="s">
        <v>732</v>
      </c>
      <c r="D9" s="227" t="s">
        <v>733</v>
      </c>
      <c r="E9" s="227" t="s">
        <v>734</v>
      </c>
      <c r="F9" s="227" t="s">
        <v>735</v>
      </c>
      <c r="G9" s="227" t="s">
        <v>736</v>
      </c>
      <c r="H9" s="225" t="s">
        <v>737</v>
      </c>
      <c r="I9"/>
      <c r="J9"/>
      <c r="K9"/>
      <c r="L9"/>
      <c r="M9"/>
      <c r="N9"/>
      <c r="O9"/>
      <c r="P9" s="1282"/>
    </row>
    <row r="10" spans="1:16" s="1293" customFormat="1" ht="44.25" customHeight="1">
      <c r="A10" s="1292"/>
      <c r="B10" s="225"/>
      <c r="C10" s="1294" t="s">
        <v>63</v>
      </c>
      <c r="D10" s="1295" t="s">
        <v>68</v>
      </c>
      <c r="E10" s="1295" t="s">
        <v>64</v>
      </c>
      <c r="F10" s="1295" t="s">
        <v>738</v>
      </c>
      <c r="G10" s="1295" t="s">
        <v>65</v>
      </c>
      <c r="H10" s="1296" t="s">
        <v>66</v>
      </c>
      <c r="I10"/>
      <c r="J10"/>
      <c r="K10"/>
      <c r="L10"/>
      <c r="M10"/>
      <c r="N10"/>
      <c r="O10"/>
      <c r="P10" s="1282"/>
    </row>
    <row r="11" spans="1:16">
      <c r="A11" s="1292">
        <v>1</v>
      </c>
      <c r="B11" s="233" t="s">
        <v>741</v>
      </c>
      <c r="C11" s="1799">
        <v>4955996251</v>
      </c>
      <c r="D11" s="711">
        <v>79440242</v>
      </c>
      <c r="E11" s="711">
        <v>2670668958</v>
      </c>
      <c r="F11" s="779">
        <v>0</v>
      </c>
      <c r="G11" s="711">
        <v>2834292764</v>
      </c>
      <c r="H11" s="2105">
        <v>0</v>
      </c>
      <c r="I11"/>
      <c r="J11"/>
      <c r="K11"/>
      <c r="L11"/>
      <c r="M11"/>
      <c r="N11"/>
      <c r="O11"/>
    </row>
    <row r="12" spans="1:16">
      <c r="A12" s="1292">
        <f>+A11+1</f>
        <v>2</v>
      </c>
      <c r="B12" s="233" t="s">
        <v>322</v>
      </c>
      <c r="C12" s="1799">
        <v>4955732359</v>
      </c>
      <c r="D12" s="711">
        <v>79440242</v>
      </c>
      <c r="E12" s="711">
        <v>2674474489</v>
      </c>
      <c r="F12" s="779">
        <v>0</v>
      </c>
      <c r="G12" s="711">
        <v>2841909498</v>
      </c>
      <c r="H12" s="2105">
        <v>0</v>
      </c>
      <c r="I12"/>
      <c r="J12"/>
      <c r="K12"/>
      <c r="L12"/>
      <c r="M12"/>
      <c r="N12"/>
      <c r="O12"/>
    </row>
    <row r="13" spans="1:16">
      <c r="A13" s="1292">
        <f t="shared" ref="A13:A24" si="0">+A12+1</f>
        <v>3</v>
      </c>
      <c r="B13" s="235" t="s">
        <v>515</v>
      </c>
      <c r="C13" s="1799">
        <v>4959143135</v>
      </c>
      <c r="D13" s="711">
        <v>79440242</v>
      </c>
      <c r="E13" s="711">
        <v>2683534400</v>
      </c>
      <c r="F13" s="779">
        <v>0</v>
      </c>
      <c r="G13" s="711">
        <v>2874251852</v>
      </c>
      <c r="H13" s="2105">
        <v>0</v>
      </c>
      <c r="I13"/>
      <c r="J13"/>
      <c r="K13"/>
      <c r="L13"/>
      <c r="M13"/>
      <c r="N13"/>
      <c r="O13"/>
    </row>
    <row r="14" spans="1:16">
      <c r="A14" s="1292">
        <f t="shared" si="0"/>
        <v>4</v>
      </c>
      <c r="B14" s="235" t="s">
        <v>742</v>
      </c>
      <c r="C14" s="1799">
        <v>4960421639</v>
      </c>
      <c r="D14" s="711">
        <v>79440242</v>
      </c>
      <c r="E14" s="711">
        <v>2691081183</v>
      </c>
      <c r="F14" s="779">
        <v>0</v>
      </c>
      <c r="G14" s="711">
        <v>2892066687</v>
      </c>
      <c r="H14" s="2105">
        <v>0</v>
      </c>
      <c r="I14"/>
      <c r="J14"/>
      <c r="K14"/>
      <c r="L14"/>
      <c r="M14"/>
      <c r="N14"/>
      <c r="O14"/>
    </row>
    <row r="15" spans="1:16">
      <c r="A15" s="1292">
        <f t="shared" si="0"/>
        <v>5</v>
      </c>
      <c r="B15" s="235" t="s">
        <v>324</v>
      </c>
      <c r="C15" s="1799">
        <v>4966277847</v>
      </c>
      <c r="D15" s="711">
        <v>82592017</v>
      </c>
      <c r="E15" s="711">
        <v>2697017421</v>
      </c>
      <c r="F15" s="779">
        <v>0</v>
      </c>
      <c r="G15" s="711">
        <v>2907307665</v>
      </c>
      <c r="H15" s="2105">
        <v>0</v>
      </c>
      <c r="I15"/>
      <c r="J15"/>
      <c r="K15"/>
      <c r="L15"/>
      <c r="M15"/>
      <c r="N15"/>
      <c r="O15"/>
    </row>
    <row r="16" spans="1:16">
      <c r="A16" s="1292">
        <f t="shared" si="0"/>
        <v>6</v>
      </c>
      <c r="B16" s="235" t="s">
        <v>325</v>
      </c>
      <c r="C16" s="1799">
        <v>4971230246</v>
      </c>
      <c r="D16" s="711">
        <v>82592017</v>
      </c>
      <c r="E16" s="711">
        <v>2723766566</v>
      </c>
      <c r="F16" s="779">
        <v>0</v>
      </c>
      <c r="G16" s="711">
        <v>2929575325</v>
      </c>
      <c r="H16" s="2105">
        <v>0</v>
      </c>
      <c r="I16"/>
      <c r="J16"/>
      <c r="K16"/>
      <c r="L16"/>
      <c r="M16"/>
      <c r="N16"/>
      <c r="O16"/>
    </row>
    <row r="17" spans="1:16">
      <c r="A17" s="1292">
        <f t="shared" si="0"/>
        <v>7</v>
      </c>
      <c r="B17" s="235" t="s">
        <v>48</v>
      </c>
      <c r="C17" s="1799">
        <v>4977697625</v>
      </c>
      <c r="D17" s="711">
        <v>83670346</v>
      </c>
      <c r="E17" s="711">
        <v>2749194666</v>
      </c>
      <c r="F17" s="779">
        <v>0</v>
      </c>
      <c r="G17" s="711">
        <v>2948871470</v>
      </c>
      <c r="H17" s="2105">
        <v>0</v>
      </c>
      <c r="I17"/>
      <c r="J17"/>
      <c r="K17"/>
      <c r="L17"/>
      <c r="M17"/>
      <c r="N17"/>
      <c r="O17"/>
    </row>
    <row r="18" spans="1:16">
      <c r="A18" s="1292">
        <f t="shared" si="0"/>
        <v>8</v>
      </c>
      <c r="B18" s="235" t="s">
        <v>326</v>
      </c>
      <c r="C18" s="1799">
        <v>5020757676</v>
      </c>
      <c r="D18" s="711">
        <v>117390742</v>
      </c>
      <c r="E18" s="711">
        <v>2752914984</v>
      </c>
      <c r="F18" s="779">
        <v>0</v>
      </c>
      <c r="G18" s="711">
        <v>2959665052</v>
      </c>
      <c r="H18" s="2105">
        <v>0</v>
      </c>
      <c r="I18"/>
      <c r="J18"/>
      <c r="K18"/>
      <c r="L18"/>
      <c r="M18"/>
      <c r="N18"/>
      <c r="O18"/>
    </row>
    <row r="19" spans="1:16">
      <c r="A19" s="1292">
        <f t="shared" si="0"/>
        <v>9</v>
      </c>
      <c r="B19" s="235" t="s">
        <v>743</v>
      </c>
      <c r="C19" s="1799">
        <v>5022525640</v>
      </c>
      <c r="D19" s="711">
        <v>117390742</v>
      </c>
      <c r="E19" s="711">
        <v>2760149364</v>
      </c>
      <c r="F19" s="779">
        <v>0</v>
      </c>
      <c r="G19" s="711">
        <v>2975615471</v>
      </c>
      <c r="H19" s="2105">
        <v>0</v>
      </c>
      <c r="I19"/>
      <c r="J19"/>
      <c r="K19"/>
      <c r="L19"/>
      <c r="M19"/>
      <c r="N19"/>
      <c r="O19"/>
    </row>
    <row r="20" spans="1:16">
      <c r="A20" s="1292">
        <f t="shared" si="0"/>
        <v>10</v>
      </c>
      <c r="B20" s="235" t="s">
        <v>329</v>
      </c>
      <c r="C20" s="1799">
        <v>5033585199</v>
      </c>
      <c r="D20" s="711">
        <v>123973714</v>
      </c>
      <c r="E20" s="711">
        <v>2764819910</v>
      </c>
      <c r="F20" s="779">
        <v>0</v>
      </c>
      <c r="G20" s="711">
        <v>2996362367</v>
      </c>
      <c r="H20" s="2105">
        <v>0</v>
      </c>
      <c r="I20"/>
      <c r="J20"/>
      <c r="K20"/>
      <c r="L20"/>
      <c r="M20"/>
      <c r="N20"/>
      <c r="O20"/>
    </row>
    <row r="21" spans="1:16">
      <c r="A21" s="1292">
        <f t="shared" si="0"/>
        <v>11</v>
      </c>
      <c r="B21" s="235" t="s">
        <v>516</v>
      </c>
      <c r="C21" s="1799">
        <v>5033935950</v>
      </c>
      <c r="D21" s="711">
        <v>123973714</v>
      </c>
      <c r="E21" s="711">
        <v>2773113247</v>
      </c>
      <c r="F21" s="779">
        <v>0</v>
      </c>
      <c r="G21" s="711">
        <v>3006455462</v>
      </c>
      <c r="H21" s="2105">
        <v>0</v>
      </c>
      <c r="I21"/>
      <c r="J21"/>
      <c r="K21"/>
      <c r="L21"/>
      <c r="M21"/>
      <c r="N21"/>
      <c r="O21"/>
    </row>
    <row r="22" spans="1:16">
      <c r="A22" s="1292">
        <f t="shared" si="0"/>
        <v>12</v>
      </c>
      <c r="B22" s="235" t="s">
        <v>517</v>
      </c>
      <c r="C22" s="1799">
        <v>5035503472</v>
      </c>
      <c r="D22" s="711">
        <v>123973714</v>
      </c>
      <c r="E22" s="711">
        <v>2794668483</v>
      </c>
      <c r="F22" s="779">
        <v>0</v>
      </c>
      <c r="G22" s="711">
        <v>3021563799</v>
      </c>
      <c r="H22" s="2105">
        <v>0</v>
      </c>
      <c r="I22"/>
      <c r="J22"/>
      <c r="K22"/>
      <c r="L22"/>
      <c r="M22"/>
      <c r="N22"/>
      <c r="O22"/>
    </row>
    <row r="23" spans="1:16">
      <c r="A23" s="1297">
        <f t="shared" si="0"/>
        <v>13</v>
      </c>
      <c r="B23" s="237" t="s">
        <v>744</v>
      </c>
      <c r="C23" s="1799">
        <v>5475973992</v>
      </c>
      <c r="D23" s="711">
        <v>130413996</v>
      </c>
      <c r="E23" s="711">
        <v>2878462592</v>
      </c>
      <c r="F23" s="779">
        <v>0</v>
      </c>
      <c r="G23" s="711">
        <v>3017376293</v>
      </c>
      <c r="H23" s="2105">
        <v>0</v>
      </c>
      <c r="I23"/>
      <c r="J23"/>
      <c r="K23"/>
      <c r="L23"/>
      <c r="M23"/>
      <c r="N23"/>
      <c r="O23"/>
    </row>
    <row r="24" spans="1:16" ht="13" thickBot="1">
      <c r="A24" s="1298">
        <f t="shared" si="0"/>
        <v>14</v>
      </c>
      <c r="B24" s="1748" t="s">
        <v>1226</v>
      </c>
      <c r="C24" s="1299">
        <f t="shared" ref="C24:H24" si="1">AVERAGE(C11:C23)</f>
        <v>5028367771.6153851</v>
      </c>
      <c r="D24" s="1299">
        <f t="shared" si="1"/>
        <v>100287074.61538461</v>
      </c>
      <c r="E24" s="1299">
        <f t="shared" si="1"/>
        <v>2739528174.0769229</v>
      </c>
      <c r="F24" s="2140">
        <f t="shared" si="1"/>
        <v>0</v>
      </c>
      <c r="G24" s="1299">
        <f t="shared" si="1"/>
        <v>2938870285</v>
      </c>
      <c r="H24" s="2140">
        <f t="shared" si="1"/>
        <v>0</v>
      </c>
      <c r="I24"/>
      <c r="J24"/>
      <c r="K24"/>
      <c r="L24"/>
      <c r="M24"/>
      <c r="N24"/>
      <c r="O24"/>
    </row>
    <row r="25" spans="1:16" ht="13" thickTop="1">
      <c r="A25" s="1284"/>
      <c r="B25" s="240"/>
      <c r="C25" s="241"/>
      <c r="D25" s="241"/>
      <c r="E25" s="241"/>
      <c r="F25" s="241"/>
      <c r="G25" s="241"/>
      <c r="H25" s="241"/>
      <c r="I25"/>
      <c r="J25"/>
      <c r="K25"/>
      <c r="L25"/>
      <c r="M25"/>
      <c r="N25"/>
      <c r="O25"/>
    </row>
    <row r="26" spans="1:16" ht="14.25" customHeight="1">
      <c r="A26" s="1284"/>
      <c r="B26" s="240"/>
      <c r="C26"/>
      <c r="D26"/>
      <c r="E26"/>
      <c r="F26"/>
      <c r="G26"/>
      <c r="H26"/>
      <c r="I26"/>
      <c r="J26"/>
      <c r="K26"/>
      <c r="L26"/>
      <c r="M26"/>
      <c r="N26"/>
      <c r="O26"/>
    </row>
    <row r="27" spans="1:16" ht="12.75" customHeight="1">
      <c r="A27" s="1284"/>
      <c r="B27" s="219"/>
      <c r="C27" s="2371" t="s">
        <v>748</v>
      </c>
      <c r="D27" s="2372"/>
      <c r="E27" s="2372"/>
      <c r="F27" s="2372"/>
      <c r="G27" s="2372"/>
      <c r="H27"/>
      <c r="I27"/>
      <c r="J27"/>
      <c r="K27"/>
      <c r="L27"/>
      <c r="M27"/>
      <c r="N27"/>
      <c r="O27"/>
    </row>
    <row r="28" spans="1:16" s="1291" customFormat="1" ht="26">
      <c r="A28" s="1288" t="s">
        <v>722</v>
      </c>
      <c r="B28" s="221" t="s">
        <v>705</v>
      </c>
      <c r="C28" s="1289" t="s">
        <v>728</v>
      </c>
      <c r="D28" s="1289" t="s">
        <v>729</v>
      </c>
      <c r="E28" s="1289" t="s">
        <v>730</v>
      </c>
      <c r="F28" s="1289" t="s">
        <v>751</v>
      </c>
      <c r="G28" s="1290" t="s">
        <v>752</v>
      </c>
      <c r="J28"/>
      <c r="K28"/>
      <c r="L28"/>
      <c r="M28"/>
      <c r="N28"/>
      <c r="O28"/>
      <c r="P28" s="1282"/>
    </row>
    <row r="29" spans="1:16" s="1293" customFormat="1" ht="13">
      <c r="A29" s="1292"/>
      <c r="B29" s="225" t="s">
        <v>731</v>
      </c>
      <c r="C29" s="227" t="s">
        <v>732</v>
      </c>
      <c r="D29" s="227" t="s">
        <v>733</v>
      </c>
      <c r="E29" s="227" t="s">
        <v>734</v>
      </c>
      <c r="F29" s="227" t="s">
        <v>735</v>
      </c>
      <c r="G29" s="227" t="s">
        <v>736</v>
      </c>
      <c r="J29"/>
      <c r="K29"/>
      <c r="L29"/>
      <c r="M29"/>
      <c r="N29"/>
      <c r="O29"/>
      <c r="P29" s="1282"/>
    </row>
    <row r="30" spans="1:16" s="1293" customFormat="1" ht="52.5" customHeight="1">
      <c r="A30" s="1292"/>
      <c r="B30" s="225"/>
      <c r="C30" s="1295" t="s">
        <v>739</v>
      </c>
      <c r="D30" s="1295" t="s">
        <v>740</v>
      </c>
      <c r="E30" s="1295" t="s">
        <v>67</v>
      </c>
      <c r="F30" s="1295" t="s">
        <v>678</v>
      </c>
      <c r="G30" s="1296" t="s">
        <v>678</v>
      </c>
      <c r="J30"/>
      <c r="K30"/>
      <c r="L30"/>
      <c r="M30"/>
      <c r="N30"/>
      <c r="O30"/>
      <c r="P30" s="1282"/>
    </row>
    <row r="31" spans="1:16">
      <c r="A31" s="1292">
        <f>+A24+1</f>
        <v>15</v>
      </c>
      <c r="B31" s="233" t="s">
        <v>741</v>
      </c>
      <c r="C31" s="1799">
        <v>314071922</v>
      </c>
      <c r="D31" s="711">
        <v>1265939</v>
      </c>
      <c r="E31" s="711">
        <v>188057469</v>
      </c>
      <c r="F31" s="711">
        <v>45161245</v>
      </c>
      <c r="G31" s="711">
        <v>69930372.340000004</v>
      </c>
      <c r="J31"/>
      <c r="K31"/>
      <c r="L31"/>
      <c r="M31"/>
      <c r="N31"/>
      <c r="O31"/>
    </row>
    <row r="32" spans="1:16">
      <c r="A32" s="1292">
        <f>+A31+1</f>
        <v>16</v>
      </c>
      <c r="B32" s="233" t="s">
        <v>322</v>
      </c>
      <c r="C32" s="1799">
        <v>321180486</v>
      </c>
      <c r="D32" s="711">
        <v>1265939</v>
      </c>
      <c r="E32" s="711">
        <v>189981389</v>
      </c>
      <c r="F32" s="711">
        <v>45161245</v>
      </c>
      <c r="G32" s="711">
        <v>69962354.100000009</v>
      </c>
      <c r="J32"/>
      <c r="K32"/>
      <c r="L32"/>
      <c r="M32"/>
      <c r="N32"/>
      <c r="O32"/>
    </row>
    <row r="33" spans="1:15">
      <c r="A33" s="1292">
        <f t="shared" ref="A33:A44" si="2">+A32+1</f>
        <v>17</v>
      </c>
      <c r="B33" s="235" t="s">
        <v>515</v>
      </c>
      <c r="C33" s="1799">
        <v>322923245</v>
      </c>
      <c r="D33" s="711">
        <v>1265939</v>
      </c>
      <c r="E33" s="711">
        <v>191358400</v>
      </c>
      <c r="F33" s="711">
        <v>45356951</v>
      </c>
      <c r="G33" s="711">
        <v>69797813.349999994</v>
      </c>
      <c r="J33"/>
      <c r="K33"/>
      <c r="L33"/>
      <c r="M33"/>
      <c r="N33"/>
      <c r="O33"/>
    </row>
    <row r="34" spans="1:15">
      <c r="A34" s="1292">
        <f t="shared" si="2"/>
        <v>18</v>
      </c>
      <c r="B34" s="235" t="s">
        <v>742</v>
      </c>
      <c r="C34" s="1799">
        <v>325425143</v>
      </c>
      <c r="D34" s="711">
        <v>1265939</v>
      </c>
      <c r="E34" s="711">
        <v>185816334</v>
      </c>
      <c r="F34" s="711">
        <v>45356951</v>
      </c>
      <c r="G34" s="711">
        <v>69887697.189999998</v>
      </c>
      <c r="J34"/>
      <c r="K34"/>
      <c r="L34"/>
      <c r="M34"/>
      <c r="N34"/>
      <c r="O34"/>
    </row>
    <row r="35" spans="1:15">
      <c r="A35" s="1292">
        <f t="shared" si="2"/>
        <v>19</v>
      </c>
      <c r="B35" s="235" t="s">
        <v>324</v>
      </c>
      <c r="C35" s="1799">
        <v>326131942</v>
      </c>
      <c r="D35" s="711">
        <v>1265939</v>
      </c>
      <c r="E35" s="711">
        <v>186915558</v>
      </c>
      <c r="F35" s="711">
        <v>45356951</v>
      </c>
      <c r="G35" s="711">
        <v>69908857.089999974</v>
      </c>
      <c r="J35"/>
      <c r="K35"/>
      <c r="L35"/>
      <c r="M35"/>
      <c r="N35"/>
      <c r="O35"/>
    </row>
    <row r="36" spans="1:15">
      <c r="A36" s="1292">
        <f t="shared" si="2"/>
        <v>20</v>
      </c>
      <c r="B36" s="235" t="s">
        <v>325</v>
      </c>
      <c r="C36" s="1799">
        <v>327933619</v>
      </c>
      <c r="D36" s="711">
        <v>1265939</v>
      </c>
      <c r="E36" s="711">
        <v>188481582</v>
      </c>
      <c r="F36" s="711">
        <v>45356951</v>
      </c>
      <c r="G36" s="711">
        <v>69914109.549999997</v>
      </c>
      <c r="J36"/>
      <c r="K36"/>
      <c r="L36"/>
      <c r="M36"/>
      <c r="N36"/>
      <c r="O36"/>
    </row>
    <row r="37" spans="1:15">
      <c r="A37" s="1292">
        <f t="shared" si="2"/>
        <v>21</v>
      </c>
      <c r="B37" s="235" t="s">
        <v>48</v>
      </c>
      <c r="C37" s="1799">
        <v>439478831</v>
      </c>
      <c r="D37" s="711">
        <v>1265939</v>
      </c>
      <c r="E37" s="711">
        <v>184956074</v>
      </c>
      <c r="F37" s="711">
        <v>45356951</v>
      </c>
      <c r="G37" s="711">
        <v>70051048.359999999</v>
      </c>
      <c r="J37"/>
      <c r="K37"/>
      <c r="L37"/>
      <c r="M37"/>
      <c r="N37"/>
      <c r="O37"/>
    </row>
    <row r="38" spans="1:15">
      <c r="A38" s="1292">
        <f t="shared" si="2"/>
        <v>22</v>
      </c>
      <c r="B38" s="235" t="s">
        <v>326</v>
      </c>
      <c r="C38" s="1799">
        <v>441552026</v>
      </c>
      <c r="D38" s="711">
        <v>1265939</v>
      </c>
      <c r="E38" s="711">
        <v>186396863</v>
      </c>
      <c r="F38" s="711">
        <v>45736222</v>
      </c>
      <c r="G38" s="711">
        <v>70117899.760000005</v>
      </c>
      <c r="J38"/>
      <c r="K38"/>
      <c r="L38"/>
      <c r="M38"/>
      <c r="N38"/>
      <c r="O38"/>
    </row>
    <row r="39" spans="1:15">
      <c r="A39" s="1292">
        <f t="shared" si="2"/>
        <v>23</v>
      </c>
      <c r="B39" s="235" t="s">
        <v>743</v>
      </c>
      <c r="C39" s="1799">
        <v>446560025</v>
      </c>
      <c r="D39" s="711">
        <v>1265939</v>
      </c>
      <c r="E39" s="711">
        <v>187304094</v>
      </c>
      <c r="F39" s="711">
        <v>45707170</v>
      </c>
      <c r="G39" s="711">
        <v>70271874.429999992</v>
      </c>
      <c r="J39"/>
      <c r="K39"/>
      <c r="L39"/>
      <c r="M39"/>
      <c r="N39"/>
      <c r="O39"/>
    </row>
    <row r="40" spans="1:15">
      <c r="A40" s="1292">
        <f t="shared" si="2"/>
        <v>24</v>
      </c>
      <c r="B40" s="235" t="s">
        <v>329</v>
      </c>
      <c r="C40" s="1799">
        <v>449163895</v>
      </c>
      <c r="D40" s="711">
        <v>1265939</v>
      </c>
      <c r="E40" s="711">
        <v>184298514</v>
      </c>
      <c r="F40" s="711">
        <v>45707363</v>
      </c>
      <c r="G40" s="711">
        <v>70267650.699999988</v>
      </c>
      <c r="J40"/>
      <c r="K40"/>
      <c r="L40"/>
      <c r="M40"/>
      <c r="N40"/>
      <c r="O40"/>
    </row>
    <row r="41" spans="1:15">
      <c r="A41" s="1292">
        <f t="shared" si="2"/>
        <v>25</v>
      </c>
      <c r="B41" s="235" t="s">
        <v>516</v>
      </c>
      <c r="C41" s="1799">
        <v>449063842</v>
      </c>
      <c r="D41" s="711">
        <v>1265939</v>
      </c>
      <c r="E41" s="711">
        <v>185959494</v>
      </c>
      <c r="F41" s="711">
        <v>45707363</v>
      </c>
      <c r="G41" s="711">
        <v>70266571.48999998</v>
      </c>
      <c r="J41"/>
      <c r="K41"/>
      <c r="L41"/>
      <c r="M41"/>
      <c r="N41"/>
      <c r="O41"/>
    </row>
    <row r="42" spans="1:15">
      <c r="A42" s="1292">
        <f t="shared" si="2"/>
        <v>26</v>
      </c>
      <c r="B42" s="235" t="s">
        <v>517</v>
      </c>
      <c r="C42" s="1799">
        <v>450796019</v>
      </c>
      <c r="D42" s="711">
        <v>1265939</v>
      </c>
      <c r="E42" s="711">
        <v>188657115</v>
      </c>
      <c r="F42" s="711">
        <v>45707363</v>
      </c>
      <c r="G42" s="711">
        <v>70653100.780000001</v>
      </c>
      <c r="J42"/>
      <c r="K42"/>
      <c r="L42"/>
      <c r="M42"/>
      <c r="N42"/>
      <c r="O42"/>
    </row>
    <row r="43" spans="1:15">
      <c r="A43" s="1297">
        <f t="shared" si="2"/>
        <v>27</v>
      </c>
      <c r="B43" s="237" t="s">
        <v>744</v>
      </c>
      <c r="C43" s="1799">
        <v>458915234</v>
      </c>
      <c r="D43" s="711">
        <v>1265939</v>
      </c>
      <c r="E43" s="711">
        <v>186212622</v>
      </c>
      <c r="F43" s="711">
        <v>45811638</v>
      </c>
      <c r="G43" s="711">
        <v>70662243.840000004</v>
      </c>
      <c r="J43"/>
      <c r="K43"/>
      <c r="L43"/>
      <c r="M43"/>
      <c r="N43"/>
      <c r="O43"/>
    </row>
    <row r="44" spans="1:15" ht="13" thickBot="1">
      <c r="A44" s="1298">
        <f t="shared" si="2"/>
        <v>28</v>
      </c>
      <c r="B44" s="1748" t="s">
        <v>1226</v>
      </c>
      <c r="C44" s="1299">
        <f>AVERAGE(C31:C43)</f>
        <v>390245863.76923078</v>
      </c>
      <c r="D44" s="1299">
        <f>AVERAGE(D31:D43)</f>
        <v>1265939</v>
      </c>
      <c r="E44" s="1299">
        <f>AVERAGE(E31:E43)</f>
        <v>187261192.92307693</v>
      </c>
      <c r="F44" s="1299">
        <f>AVERAGE(F31:F43)</f>
        <v>45498797.230769232</v>
      </c>
      <c r="G44" s="1299">
        <f>AVERAGE(G31:G43)</f>
        <v>70130122.536923066</v>
      </c>
      <c r="J44"/>
      <c r="K44"/>
      <c r="L44"/>
      <c r="M44"/>
      <c r="N44"/>
      <c r="O44"/>
    </row>
    <row r="45" spans="1:15" ht="13" thickTop="1">
      <c r="A45" s="1284"/>
      <c r="B45" s="240"/>
      <c r="C45" s="241"/>
      <c r="D45" s="241"/>
      <c r="E45" s="241"/>
      <c r="F45" s="739"/>
      <c r="G45" s="739"/>
      <c r="H45"/>
      <c r="I45"/>
      <c r="J45"/>
      <c r="K45"/>
      <c r="L45"/>
      <c r="M45"/>
      <c r="N45"/>
      <c r="O45"/>
    </row>
    <row r="46" spans="1:15">
      <c r="A46" s="1284"/>
      <c r="C46" s="241"/>
      <c r="D46" s="241"/>
      <c r="E46" s="241"/>
      <c r="F46" s="739"/>
      <c r="G46" s="739"/>
      <c r="H46" s="739"/>
      <c r="I46" s="739"/>
      <c r="J46" s="739"/>
      <c r="K46" s="241"/>
      <c r="L46" s="241"/>
      <c r="M46" s="241"/>
      <c r="N46" s="1300"/>
      <c r="O46" s="1300"/>
    </row>
    <row r="47" spans="1:15" ht="13">
      <c r="A47" s="1284"/>
      <c r="B47" s="1301" t="s">
        <v>770</v>
      </c>
      <c r="C47" s="241"/>
      <c r="D47" s="241"/>
      <c r="E47" s="241"/>
      <c r="F47" s="739"/>
      <c r="G47" s="739"/>
      <c r="H47" s="739"/>
      <c r="I47" s="739"/>
      <c r="J47" s="739"/>
      <c r="K47" s="241"/>
      <c r="L47" s="241"/>
      <c r="M47" s="241"/>
      <c r="N47" s="1300"/>
      <c r="O47" s="1300"/>
    </row>
    <row r="48" spans="1:15" ht="26">
      <c r="A48" s="1302" t="s">
        <v>722</v>
      </c>
      <c r="B48" s="1303" t="s">
        <v>756</v>
      </c>
      <c r="C48" s="2400" t="s">
        <v>757</v>
      </c>
      <c r="D48" s="2400"/>
      <c r="E48" s="2400"/>
      <c r="F48" s="1304" t="s">
        <v>758</v>
      </c>
      <c r="G48" s="1304" t="str">
        <f>'SWEPCO TCOS'!N2&amp;" Rate Year Beginning balance"</f>
        <v>2024 Rate Year Beginning balance</v>
      </c>
      <c r="H48" s="1304" t="str">
        <f>'SWEPCO TCOS'!N2&amp;" Rate Year Ending balance"</f>
        <v>2024 Rate Year Ending balance</v>
      </c>
      <c r="I48" s="1289" t="str">
        <f>'SWEPCO TCOS'!N2&amp;" Rate Year Average"</f>
        <v>2024 Rate Year Average</v>
      </c>
      <c r="J48" s="739"/>
      <c r="K48" s="241"/>
      <c r="L48" s="241"/>
      <c r="M48" s="241"/>
      <c r="N48" s="1300"/>
      <c r="O48" s="1300"/>
    </row>
    <row r="49" spans="1:15" ht="13">
      <c r="A49" s="1284"/>
      <c r="B49" s="227" t="s">
        <v>731</v>
      </c>
      <c r="C49" s="2401" t="s">
        <v>732</v>
      </c>
      <c r="D49" s="2401"/>
      <c r="E49" s="2401"/>
      <c r="F49" s="227" t="s">
        <v>733</v>
      </c>
      <c r="G49" s="227" t="s">
        <v>734</v>
      </c>
      <c r="H49" s="227" t="s">
        <v>735</v>
      </c>
      <c r="I49" s="1305" t="s">
        <v>736</v>
      </c>
      <c r="J49" s="739"/>
      <c r="K49" s="241"/>
      <c r="L49" s="241"/>
      <c r="M49" s="241"/>
      <c r="N49" s="1300"/>
      <c r="O49" s="1300"/>
    </row>
    <row r="50" spans="1:15">
      <c r="A50" s="1284" t="str">
        <f>+A$44+1&amp;"A"</f>
        <v>29A</v>
      </c>
      <c r="B50" s="711" t="s">
        <v>1015</v>
      </c>
      <c r="C50" s="711"/>
      <c r="D50" s="711"/>
      <c r="E50" s="711"/>
      <c r="F50" s="728"/>
      <c r="G50" s="711">
        <v>1591199</v>
      </c>
      <c r="H50" s="711">
        <v>2183899.38</v>
      </c>
      <c r="I50" s="711">
        <f>AVERAGE(G50:H50)</f>
        <v>1887549.19</v>
      </c>
    </row>
    <row r="51" spans="1:15">
      <c r="A51" s="1284" t="str">
        <f>+A$44+1&amp;"B"</f>
        <v>29B</v>
      </c>
      <c r="B51" s="711" t="s">
        <v>1016</v>
      </c>
      <c r="C51" s="711"/>
      <c r="D51" s="711"/>
      <c r="E51" s="711"/>
      <c r="F51" s="728"/>
      <c r="G51" s="779">
        <v>0</v>
      </c>
      <c r="H51" s="779">
        <v>0</v>
      </c>
      <c r="I51" s="779">
        <v>0</v>
      </c>
    </row>
    <row r="52" spans="1:15">
      <c r="A52" s="1284" t="str">
        <f>+A$44+1&amp;"C"</f>
        <v>29C</v>
      </c>
      <c r="B52" s="711"/>
      <c r="C52" s="711"/>
      <c r="D52" s="711"/>
      <c r="E52" s="711"/>
      <c r="F52" s="711"/>
      <c r="G52" s="779"/>
      <c r="H52" s="779"/>
      <c r="I52" s="779"/>
    </row>
    <row r="53" spans="1:15" ht="13" thickBot="1">
      <c r="A53" s="1284">
        <f>+A44+2</f>
        <v>30</v>
      </c>
      <c r="B53" s="1306" t="s">
        <v>761</v>
      </c>
      <c r="C53" s="1306"/>
      <c r="D53" s="1306"/>
      <c r="E53" s="1306"/>
      <c r="F53" s="1306"/>
      <c r="G53" s="1307">
        <f>+SUM(G50:G52)</f>
        <v>1591199</v>
      </c>
      <c r="H53" s="1307">
        <f>+SUM(H50:H52)</f>
        <v>2183899.38</v>
      </c>
      <c r="I53" s="1307">
        <f>+SUM(I50:I52)</f>
        <v>1887549.19</v>
      </c>
    </row>
    <row r="54" spans="1:15" ht="13" thickTop="1"/>
    <row r="55" spans="1:15">
      <c r="A55" s="1309" t="s">
        <v>769</v>
      </c>
    </row>
    <row r="56" spans="1:15">
      <c r="A56" s="1284" t="s">
        <v>301</v>
      </c>
      <c r="B56" s="1282" t="s">
        <v>772</v>
      </c>
    </row>
    <row r="57" spans="1:15">
      <c r="A57" s="1284" t="s">
        <v>302</v>
      </c>
      <c r="B57" s="1282" t="s">
        <v>771</v>
      </c>
    </row>
  </sheetData>
  <mergeCells count="8">
    <mergeCell ref="C48:E48"/>
    <mergeCell ref="C49:E49"/>
    <mergeCell ref="A2:H2"/>
    <mergeCell ref="A3:H3"/>
    <mergeCell ref="A4:H4"/>
    <mergeCell ref="A5:H5"/>
    <mergeCell ref="C7:H7"/>
    <mergeCell ref="C27:G27"/>
  </mergeCells>
  <pageMargins left="0.7" right="0.7" top="0.75" bottom="0.75" header="0.3" footer="0.3"/>
  <pageSetup scale="10" orientation="portrait" cellComments="asDisplayed" r:id="rId1"/>
  <headerFooter>
    <oddHeader>&amp;RAEP - SPP Formula Rate
TCOS - WS A-1
Page: &amp;P of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50"/>
  <sheetViews>
    <sheetView topLeftCell="A26" zoomScaleNormal="100" zoomScaleSheetLayoutView="70" zoomScalePageLayoutView="80" workbookViewId="0">
      <selection activeCell="I28" sqref="I28"/>
    </sheetView>
  </sheetViews>
  <sheetFormatPr defaultColWidth="11.453125" defaultRowHeight="12.5"/>
  <cols>
    <col min="1" max="1" width="10.453125" style="1308" customWidth="1"/>
    <col min="2" max="2" width="39.81640625" style="1282" customWidth="1"/>
    <col min="3" max="3" width="21.1796875" style="1282" customWidth="1"/>
    <col min="4" max="4" width="19.453125" style="1282" customWidth="1"/>
    <col min="5" max="5" width="18.81640625" style="1282" customWidth="1"/>
    <col min="6" max="6" width="18" style="1282" customWidth="1"/>
    <col min="7" max="7" width="16.54296875" style="1282" customWidth="1"/>
    <col min="8" max="8" width="17.1796875" style="1282" customWidth="1"/>
    <col min="9" max="9" width="15.453125" style="1282" customWidth="1"/>
    <col min="10" max="15" width="20.453125" style="1282" customWidth="1"/>
    <col min="16" max="16" width="20" style="1282" customWidth="1"/>
    <col min="17" max="18" width="15.1796875" style="1282" customWidth="1"/>
    <col min="19" max="16384" width="11.453125" style="1282"/>
  </cols>
  <sheetData>
    <row r="1" spans="1:16" ht="15.5">
      <c r="A1" s="1281"/>
    </row>
    <row r="2" spans="1:16" ht="15.5">
      <c r="A2" s="2402" t="str">
        <f>'SWEPCO TCOS'!F4</f>
        <v xml:space="preserve">AEP West SPP Member Operating Companies </v>
      </c>
      <c r="B2" s="2402"/>
      <c r="C2" s="2402"/>
      <c r="D2" s="2402"/>
      <c r="E2" s="2402"/>
      <c r="F2" s="2402"/>
      <c r="G2" s="2402"/>
      <c r="H2" s="2402"/>
      <c r="I2" s="1283"/>
      <c r="J2" s="1283"/>
      <c r="K2" s="1283"/>
      <c r="L2" s="1284"/>
      <c r="M2" s="1284"/>
    </row>
    <row r="3" spans="1:16" ht="15.5">
      <c r="A3" s="2402" t="str">
        <f>"Actual / Projected "&amp;'SWEPCO TCOS'!$N$2&amp;" Rate Year Cost of Service Formula Rate "</f>
        <v xml:space="preserve">Actual / Projected 2024 Rate Year Cost of Service Formula Rate </v>
      </c>
      <c r="B3" s="2402"/>
      <c r="C3" s="2402"/>
      <c r="D3" s="2402"/>
      <c r="E3" s="2402"/>
      <c r="F3" s="2402"/>
      <c r="G3" s="2402"/>
      <c r="H3" s="2402"/>
      <c r="I3" s="1283"/>
      <c r="J3" s="1283"/>
      <c r="K3" s="1283"/>
      <c r="L3" s="1284"/>
      <c r="M3" s="1284"/>
      <c r="N3" s="1284"/>
      <c r="P3" s="1285"/>
    </row>
    <row r="4" spans="1:16" ht="15.5">
      <c r="A4" s="2403" t="s">
        <v>753</v>
      </c>
      <c r="B4" s="2403"/>
      <c r="C4" s="2403"/>
      <c r="D4" s="2403"/>
      <c r="E4" s="2403"/>
      <c r="F4" s="2403"/>
      <c r="G4" s="2403"/>
      <c r="H4" s="2403"/>
      <c r="I4" s="1283"/>
      <c r="J4" s="1283"/>
      <c r="K4" s="1283"/>
      <c r="L4" s="1284"/>
      <c r="M4" s="1284"/>
      <c r="N4" s="1284"/>
    </row>
    <row r="5" spans="1:16" ht="15.5">
      <c r="A5" s="2404" t="str">
        <f>+'SWEPCO TCOS'!$F$8</f>
        <v>SOUTHWESTERN ELECTRIC POWER COMPANY</v>
      </c>
      <c r="B5" s="2404"/>
      <c r="C5" s="2404"/>
      <c r="D5" s="2404"/>
      <c r="E5" s="2404"/>
      <c r="F5" s="2404"/>
      <c r="G5" s="2404"/>
      <c r="H5" s="2404"/>
      <c r="I5" s="1286"/>
      <c r="J5" s="1286"/>
      <c r="K5" s="1286"/>
      <c r="L5" s="1284"/>
      <c r="M5" s="1284"/>
      <c r="N5" s="1284"/>
    </row>
    <row r="6" spans="1:16" ht="13">
      <c r="A6" s="1284"/>
      <c r="B6" s="219"/>
      <c r="C6" s="219"/>
      <c r="D6" s="219"/>
      <c r="E6" s="219"/>
      <c r="F6" s="219"/>
      <c r="G6" s="219"/>
      <c r="H6" s="219"/>
      <c r="I6" s="1287"/>
      <c r="J6" s="227"/>
      <c r="L6" s="227"/>
      <c r="N6" s="227"/>
      <c r="P6" s="227"/>
    </row>
    <row r="7" spans="1:16" ht="12.75" customHeight="1">
      <c r="A7" s="1284"/>
      <c r="B7" s="219"/>
      <c r="C7" s="2371" t="s">
        <v>750</v>
      </c>
      <c r="D7" s="2372"/>
      <c r="E7" s="2372"/>
      <c r="F7" s="2372"/>
      <c r="G7" s="2372"/>
      <c r="H7" s="2373"/>
      <c r="I7"/>
      <c r="J7"/>
      <c r="K7"/>
      <c r="L7"/>
      <c r="M7"/>
      <c r="N7"/>
      <c r="O7"/>
    </row>
    <row r="8" spans="1:16" s="1291" customFormat="1" ht="56.25" customHeight="1">
      <c r="A8" s="1288" t="s">
        <v>722</v>
      </c>
      <c r="B8" s="221" t="s">
        <v>705</v>
      </c>
      <c r="C8" s="1289" t="s">
        <v>723</v>
      </c>
      <c r="D8" s="1289" t="s">
        <v>724</v>
      </c>
      <c r="E8" s="1289" t="s">
        <v>255</v>
      </c>
      <c r="F8" s="1289" t="s">
        <v>725</v>
      </c>
      <c r="G8" s="1289" t="s">
        <v>726</v>
      </c>
      <c r="H8" s="1289" t="s">
        <v>727</v>
      </c>
      <c r="I8"/>
      <c r="J8"/>
      <c r="K8"/>
      <c r="L8"/>
      <c r="M8"/>
      <c r="N8"/>
      <c r="O8"/>
      <c r="P8" s="1282"/>
    </row>
    <row r="9" spans="1:16" s="1293" customFormat="1" ht="13">
      <c r="A9" s="1292"/>
      <c r="B9" s="225" t="s">
        <v>731</v>
      </c>
      <c r="C9" s="227" t="s">
        <v>732</v>
      </c>
      <c r="D9" s="227" t="s">
        <v>733</v>
      </c>
      <c r="E9" s="227" t="s">
        <v>734</v>
      </c>
      <c r="F9" s="227" t="s">
        <v>735</v>
      </c>
      <c r="G9" s="227" t="s">
        <v>736</v>
      </c>
      <c r="H9" s="227" t="s">
        <v>737</v>
      </c>
      <c r="I9"/>
      <c r="J9"/>
      <c r="K9"/>
      <c r="L9"/>
      <c r="M9"/>
      <c r="N9"/>
      <c r="O9"/>
      <c r="P9" s="1282"/>
    </row>
    <row r="10" spans="1:16" s="1293" customFormat="1" ht="44.25" customHeight="1">
      <c r="A10" s="1292"/>
      <c r="B10" s="225"/>
      <c r="C10" s="1295" t="s">
        <v>21</v>
      </c>
      <c r="D10" s="1295" t="s">
        <v>745</v>
      </c>
      <c r="E10" s="1295" t="s">
        <v>22</v>
      </c>
      <c r="F10" s="1295" t="s">
        <v>745</v>
      </c>
      <c r="G10" s="1295" t="s">
        <v>181</v>
      </c>
      <c r="H10" s="1295" t="s">
        <v>745</v>
      </c>
      <c r="I10"/>
      <c r="J10"/>
      <c r="K10"/>
      <c r="L10"/>
      <c r="M10"/>
      <c r="N10"/>
      <c r="O10"/>
      <c r="P10" s="1282"/>
    </row>
    <row r="11" spans="1:16">
      <c r="A11" s="1292">
        <v>1</v>
      </c>
      <c r="B11" s="233" t="s">
        <v>741</v>
      </c>
      <c r="C11" s="711">
        <v>1298895307</v>
      </c>
      <c r="D11" s="711">
        <v>-12770320</v>
      </c>
      <c r="E11" s="711">
        <v>650125941</v>
      </c>
      <c r="F11" s="779">
        <v>0</v>
      </c>
      <c r="G11" s="711">
        <v>857957527</v>
      </c>
      <c r="H11" s="779">
        <v>0</v>
      </c>
      <c r="I11"/>
      <c r="J11"/>
      <c r="K11"/>
      <c r="L11"/>
      <c r="M11"/>
      <c r="N11"/>
      <c r="O11"/>
    </row>
    <row r="12" spans="1:16">
      <c r="A12" s="1292">
        <f>+A11+1</f>
        <v>2</v>
      </c>
      <c r="B12" s="233" t="s">
        <v>322</v>
      </c>
      <c r="C12" s="711">
        <v>1308465344</v>
      </c>
      <c r="D12" s="711">
        <v>-12475237.449999999</v>
      </c>
      <c r="E12" s="711">
        <v>653579645</v>
      </c>
      <c r="F12" s="779">
        <v>0</v>
      </c>
      <c r="G12" s="711">
        <v>861453571</v>
      </c>
      <c r="H12" s="779">
        <v>0</v>
      </c>
      <c r="I12"/>
      <c r="J12" s="2079"/>
      <c r="K12"/>
      <c r="L12"/>
      <c r="M12"/>
      <c r="N12"/>
      <c r="O12"/>
    </row>
    <row r="13" spans="1:16">
      <c r="A13" s="1292">
        <f t="shared" ref="A13:A24" si="0">+A12+1</f>
        <v>3</v>
      </c>
      <c r="B13" s="235" t="s">
        <v>515</v>
      </c>
      <c r="C13" s="711">
        <v>1319082656</v>
      </c>
      <c r="D13" s="711">
        <v>-12181166.98</v>
      </c>
      <c r="E13" s="711">
        <v>659079969</v>
      </c>
      <c r="F13" s="779">
        <v>0</v>
      </c>
      <c r="G13" s="711">
        <v>864098133</v>
      </c>
      <c r="H13" s="779">
        <v>0</v>
      </c>
      <c r="I13"/>
      <c r="J13" s="2079"/>
      <c r="K13"/>
      <c r="L13"/>
      <c r="M13"/>
      <c r="N13"/>
      <c r="O13"/>
    </row>
    <row r="14" spans="1:16">
      <c r="A14" s="1292">
        <f t="shared" si="0"/>
        <v>4</v>
      </c>
      <c r="B14" s="235" t="s">
        <v>742</v>
      </c>
      <c r="C14" s="711">
        <v>1327028396</v>
      </c>
      <c r="D14" s="711">
        <v>-11888118.170000002</v>
      </c>
      <c r="E14" s="711">
        <v>663009830</v>
      </c>
      <c r="F14" s="779">
        <v>0</v>
      </c>
      <c r="G14" s="711">
        <v>868904511</v>
      </c>
      <c r="H14" s="779">
        <v>0</v>
      </c>
      <c r="I14"/>
      <c r="J14" s="2079"/>
      <c r="K14"/>
      <c r="L14"/>
      <c r="M14"/>
      <c r="N14"/>
      <c r="O14"/>
    </row>
    <row r="15" spans="1:16">
      <c r="A15" s="1292">
        <f t="shared" si="0"/>
        <v>5</v>
      </c>
      <c r="B15" s="235" t="s">
        <v>324</v>
      </c>
      <c r="C15" s="711">
        <v>1340894984</v>
      </c>
      <c r="D15" s="711">
        <v>-11596099.960000001</v>
      </c>
      <c r="E15" s="711">
        <v>666572526</v>
      </c>
      <c r="F15" s="779">
        <v>0</v>
      </c>
      <c r="G15" s="711">
        <v>872987705</v>
      </c>
      <c r="H15" s="779">
        <v>0</v>
      </c>
      <c r="I15"/>
      <c r="J15"/>
      <c r="K15"/>
      <c r="L15"/>
      <c r="M15"/>
      <c r="N15"/>
      <c r="O15"/>
    </row>
    <row r="16" spans="1:16">
      <c r="A16" s="1292">
        <f t="shared" si="0"/>
        <v>6</v>
      </c>
      <c r="B16" s="235" t="s">
        <v>325</v>
      </c>
      <c r="C16" s="711">
        <v>1351127432</v>
      </c>
      <c r="D16" s="711">
        <v>-11276172.949999999</v>
      </c>
      <c r="E16" s="711">
        <v>670624485</v>
      </c>
      <c r="F16" s="779">
        <v>0</v>
      </c>
      <c r="G16" s="711">
        <v>876822150</v>
      </c>
      <c r="H16" s="779">
        <v>0</v>
      </c>
      <c r="I16"/>
      <c r="J16"/>
      <c r="K16"/>
      <c r="L16"/>
      <c r="M16"/>
      <c r="N16"/>
      <c r="O16"/>
    </row>
    <row r="17" spans="1:16">
      <c r="A17" s="1292">
        <f t="shared" si="0"/>
        <v>7</v>
      </c>
      <c r="B17" s="235" t="s">
        <v>48</v>
      </c>
      <c r="C17" s="711">
        <v>1356469379</v>
      </c>
      <c r="D17" s="711">
        <v>-10735404.940000005</v>
      </c>
      <c r="E17" s="711">
        <v>671227906</v>
      </c>
      <c r="F17" s="779">
        <v>0</v>
      </c>
      <c r="G17" s="711">
        <v>880586835</v>
      </c>
      <c r="H17" s="779">
        <v>0</v>
      </c>
      <c r="I17"/>
      <c r="J17"/>
      <c r="K17"/>
      <c r="L17"/>
      <c r="M17"/>
      <c r="N17"/>
      <c r="O17"/>
    </row>
    <row r="18" spans="1:16">
      <c r="A18" s="1292">
        <f t="shared" si="0"/>
        <v>8</v>
      </c>
      <c r="B18" s="235" t="s">
        <v>326</v>
      </c>
      <c r="C18" s="711">
        <v>1365403857</v>
      </c>
      <c r="D18" s="711">
        <v>-13986377.490000004</v>
      </c>
      <c r="E18" s="711">
        <v>675244724</v>
      </c>
      <c r="F18" s="779">
        <v>0</v>
      </c>
      <c r="G18" s="711">
        <v>883454060</v>
      </c>
      <c r="H18" s="779">
        <v>0</v>
      </c>
      <c r="I18"/>
      <c r="J18"/>
      <c r="K18"/>
      <c r="L18"/>
      <c r="M18"/>
      <c r="N18"/>
      <c r="O18"/>
    </row>
    <row r="19" spans="1:16">
      <c r="A19" s="1292">
        <f t="shared" si="0"/>
        <v>9</v>
      </c>
      <c r="B19" s="235" t="s">
        <v>743</v>
      </c>
      <c r="C19" s="711">
        <v>1376501626</v>
      </c>
      <c r="D19" s="711">
        <v>-13281906.490000004</v>
      </c>
      <c r="E19" s="711">
        <v>679843794</v>
      </c>
      <c r="F19" s="779">
        <v>0</v>
      </c>
      <c r="G19" s="711">
        <v>885818680</v>
      </c>
      <c r="H19" s="779">
        <v>0</v>
      </c>
      <c r="I19"/>
      <c r="J19"/>
      <c r="K19"/>
      <c r="L19"/>
      <c r="M19"/>
      <c r="N19"/>
      <c r="O19"/>
    </row>
    <row r="20" spans="1:16">
      <c r="A20" s="1292">
        <f t="shared" si="0"/>
        <v>10</v>
      </c>
      <c r="B20" s="235" t="s">
        <v>329</v>
      </c>
      <c r="C20" s="711">
        <v>1385704930</v>
      </c>
      <c r="D20" s="711">
        <v>-12938130.410000008</v>
      </c>
      <c r="E20" s="711">
        <v>684483030</v>
      </c>
      <c r="F20" s="779">
        <v>0</v>
      </c>
      <c r="G20" s="711">
        <v>889975681</v>
      </c>
      <c r="H20" s="779">
        <v>0</v>
      </c>
      <c r="I20"/>
      <c r="J20"/>
      <c r="K20"/>
      <c r="L20"/>
      <c r="M20"/>
      <c r="N20"/>
      <c r="O20"/>
    </row>
    <row r="21" spans="1:16">
      <c r="A21" s="1292">
        <f t="shared" si="0"/>
        <v>11</v>
      </c>
      <c r="B21" s="235" t="s">
        <v>516</v>
      </c>
      <c r="C21" s="711">
        <v>1396525856</v>
      </c>
      <c r="D21" s="711">
        <v>-12179824.679999998</v>
      </c>
      <c r="E21" s="711">
        <v>686933855</v>
      </c>
      <c r="F21" s="779">
        <v>0</v>
      </c>
      <c r="G21" s="711">
        <v>893915340</v>
      </c>
      <c r="H21" s="779">
        <v>0</v>
      </c>
      <c r="I21"/>
      <c r="J21"/>
      <c r="K21"/>
      <c r="L21"/>
      <c r="M21"/>
      <c r="N21"/>
      <c r="O21"/>
    </row>
    <row r="22" spans="1:16">
      <c r="A22" s="1292">
        <f t="shared" si="0"/>
        <v>12</v>
      </c>
      <c r="B22" s="235" t="s">
        <v>517</v>
      </c>
      <c r="C22" s="711">
        <v>1408463303</v>
      </c>
      <c r="D22" s="711">
        <v>-11429270.510000002</v>
      </c>
      <c r="E22" s="711">
        <v>666350241</v>
      </c>
      <c r="F22" s="779">
        <v>0</v>
      </c>
      <c r="G22" s="711">
        <v>897447481</v>
      </c>
      <c r="H22" s="779">
        <v>0</v>
      </c>
      <c r="I22"/>
      <c r="J22"/>
      <c r="K22"/>
      <c r="L22"/>
      <c r="M22"/>
      <c r="N22"/>
      <c r="O22"/>
    </row>
    <row r="23" spans="1:16">
      <c r="A23" s="1297">
        <f t="shared" si="0"/>
        <v>13</v>
      </c>
      <c r="B23" s="1310" t="s">
        <v>744</v>
      </c>
      <c r="C23" s="711">
        <v>1421512007</v>
      </c>
      <c r="D23" s="711">
        <v>-10685946.909999996</v>
      </c>
      <c r="E23" s="711">
        <v>668419079</v>
      </c>
      <c r="F23" s="779">
        <v>0</v>
      </c>
      <c r="G23" s="711">
        <v>906744250</v>
      </c>
      <c r="H23" s="779">
        <v>0</v>
      </c>
      <c r="I23"/>
      <c r="J23"/>
      <c r="K23"/>
      <c r="L23"/>
      <c r="M23"/>
      <c r="N23"/>
      <c r="O23"/>
    </row>
    <row r="24" spans="1:16" ht="13" thickBot="1">
      <c r="A24" s="1298">
        <f t="shared" si="0"/>
        <v>14</v>
      </c>
      <c r="B24" s="1748" t="s">
        <v>1226</v>
      </c>
      <c r="C24" s="1299">
        <f t="shared" ref="C24:H24" si="1">AVERAGE(C11:C23)</f>
        <v>1358159621.3076923</v>
      </c>
      <c r="D24" s="1299">
        <f t="shared" si="1"/>
        <v>-12109536.687692311</v>
      </c>
      <c r="E24" s="1299">
        <f t="shared" si="1"/>
        <v>668884232.69230771</v>
      </c>
      <c r="F24" s="2140">
        <f t="shared" si="1"/>
        <v>0</v>
      </c>
      <c r="G24" s="1299">
        <f t="shared" si="1"/>
        <v>880012763.38461542</v>
      </c>
      <c r="H24" s="2140">
        <f t="shared" si="1"/>
        <v>0</v>
      </c>
      <c r="I24"/>
      <c r="J24"/>
      <c r="K24"/>
      <c r="L24"/>
      <c r="M24"/>
      <c r="N24"/>
      <c r="O24"/>
    </row>
    <row r="25" spans="1:16" ht="13" thickTop="1">
      <c r="A25" s="1284"/>
      <c r="B25" s="240"/>
      <c r="C25" s="241"/>
      <c r="D25" s="241"/>
      <c r="E25" s="241"/>
      <c r="F25" s="739"/>
      <c r="G25" s="241"/>
      <c r="H25" s="739"/>
      <c r="I25"/>
      <c r="J25"/>
      <c r="K25"/>
      <c r="L25"/>
      <c r="M25"/>
      <c r="N25"/>
      <c r="O25"/>
    </row>
    <row r="26" spans="1:16" ht="14.25" customHeight="1">
      <c r="A26" s="1284"/>
      <c r="B26" s="240"/>
      <c r="C26" s="241"/>
      <c r="D26" s="241"/>
      <c r="E26" s="241"/>
      <c r="F26" s="739"/>
      <c r="G26" s="241"/>
      <c r="H26" s="739"/>
      <c r="I26"/>
      <c r="J26"/>
      <c r="K26"/>
      <c r="L26"/>
      <c r="M26"/>
      <c r="N26"/>
      <c r="O26"/>
    </row>
    <row r="27" spans="1:16" ht="12.75" customHeight="1">
      <c r="A27" s="1284"/>
      <c r="B27" s="219"/>
      <c r="C27" s="2371" t="s">
        <v>749</v>
      </c>
      <c r="D27" s="2372"/>
      <c r="E27" s="2372"/>
      <c r="F27" s="2372"/>
      <c r="G27" s="2373"/>
      <c r="H27" s="1311"/>
      <c r="I27" s="1311"/>
      <c r="J27"/>
      <c r="K27"/>
      <c r="L27"/>
      <c r="M27"/>
      <c r="N27"/>
      <c r="O27"/>
    </row>
    <row r="28" spans="1:16" s="1291" customFormat="1" ht="29.25" customHeight="1">
      <c r="A28" s="1288" t="s">
        <v>722</v>
      </c>
      <c r="B28" s="221" t="s">
        <v>705</v>
      </c>
      <c r="C28" s="1289" t="s">
        <v>728</v>
      </c>
      <c r="D28" s="1289" t="s">
        <v>729</v>
      </c>
      <c r="E28" s="1289" t="s">
        <v>730</v>
      </c>
      <c r="F28" s="1289" t="s">
        <v>751</v>
      </c>
      <c r="G28" s="1290" t="s">
        <v>752</v>
      </c>
      <c r="J28"/>
      <c r="K28"/>
      <c r="L28"/>
      <c r="M28"/>
      <c r="N28"/>
      <c r="O28"/>
      <c r="P28" s="1282"/>
    </row>
    <row r="29" spans="1:16" s="1293" customFormat="1" ht="13">
      <c r="A29" s="1292"/>
      <c r="B29" s="225" t="s">
        <v>731</v>
      </c>
      <c r="C29" s="227" t="s">
        <v>732</v>
      </c>
      <c r="D29" s="227" t="s">
        <v>733</v>
      </c>
      <c r="E29" s="227" t="s">
        <v>734</v>
      </c>
      <c r="F29" s="227" t="s">
        <v>735</v>
      </c>
      <c r="G29" s="227" t="s">
        <v>736</v>
      </c>
      <c r="J29"/>
      <c r="K29"/>
      <c r="L29"/>
      <c r="M29"/>
      <c r="N29"/>
      <c r="O29"/>
      <c r="P29" s="1282"/>
    </row>
    <row r="30" spans="1:16" s="1293" customFormat="1" ht="52.5" customHeight="1">
      <c r="A30" s="1292"/>
      <c r="B30" s="225"/>
      <c r="C30" s="1295" t="s">
        <v>132</v>
      </c>
      <c r="D30" s="1295" t="s">
        <v>746</v>
      </c>
      <c r="E30" s="1295" t="s">
        <v>182</v>
      </c>
      <c r="F30" s="1295" t="s">
        <v>678</v>
      </c>
      <c r="G30" s="1296" t="s">
        <v>678</v>
      </c>
      <c r="J30"/>
      <c r="K30"/>
      <c r="L30"/>
      <c r="M30"/>
      <c r="N30"/>
      <c r="O30"/>
      <c r="P30" s="1282"/>
    </row>
    <row r="31" spans="1:16">
      <c r="A31" s="1292">
        <f>+A24+1</f>
        <v>15</v>
      </c>
      <c r="B31" s="233" t="s">
        <v>741</v>
      </c>
      <c r="C31" s="2106">
        <v>119492316</v>
      </c>
      <c r="D31" s="2106">
        <v>1045400</v>
      </c>
      <c r="E31" s="2106">
        <v>92474216</v>
      </c>
      <c r="F31" s="2106">
        <v>17361054</v>
      </c>
      <c r="G31" s="711">
        <v>18552706.510000002</v>
      </c>
      <c r="J31"/>
      <c r="K31"/>
      <c r="L31"/>
      <c r="M31"/>
      <c r="N31"/>
      <c r="O31"/>
    </row>
    <row r="32" spans="1:16">
      <c r="A32" s="1292">
        <f>+A31+1</f>
        <v>16</v>
      </c>
      <c r="B32" s="233" t="s">
        <v>322</v>
      </c>
      <c r="C32" s="1799">
        <v>119798871</v>
      </c>
      <c r="D32" s="1799">
        <v>1048603</v>
      </c>
      <c r="E32" s="1799">
        <v>95277976</v>
      </c>
      <c r="F32" s="1799">
        <v>17417857</v>
      </c>
      <c r="G32" s="711">
        <v>18692047.800000001</v>
      </c>
      <c r="J32"/>
      <c r="K32"/>
      <c r="L32"/>
      <c r="M32"/>
      <c r="N32"/>
      <c r="O32"/>
    </row>
    <row r="33" spans="1:15">
      <c r="A33" s="1292">
        <f t="shared" ref="A33:A44" si="2">+A32+1</f>
        <v>17</v>
      </c>
      <c r="B33" s="235" t="s">
        <v>515</v>
      </c>
      <c r="C33" s="1799">
        <v>119497590</v>
      </c>
      <c r="D33" s="1799">
        <v>1051806</v>
      </c>
      <c r="E33" s="1799">
        <v>98113007</v>
      </c>
      <c r="F33" s="1799">
        <v>17451664</v>
      </c>
      <c r="G33" s="711">
        <v>18807546.149999995</v>
      </c>
      <c r="J33"/>
      <c r="K33"/>
      <c r="L33"/>
      <c r="M33"/>
      <c r="N33"/>
      <c r="O33"/>
    </row>
    <row r="34" spans="1:15">
      <c r="A34" s="1292">
        <f t="shared" si="2"/>
        <v>18</v>
      </c>
      <c r="B34" s="235" t="s">
        <v>742</v>
      </c>
      <c r="C34" s="1799">
        <v>120033840</v>
      </c>
      <c r="D34" s="1799">
        <v>1055009</v>
      </c>
      <c r="E34" s="1799">
        <v>94102512</v>
      </c>
      <c r="F34" s="1799">
        <v>17511814.240000002</v>
      </c>
      <c r="G34" s="711">
        <v>18940208.070000008</v>
      </c>
      <c r="J34"/>
      <c r="K34"/>
      <c r="L34"/>
      <c r="M34"/>
      <c r="N34"/>
      <c r="O34"/>
    </row>
    <row r="35" spans="1:15">
      <c r="A35" s="1292">
        <f t="shared" si="2"/>
        <v>19</v>
      </c>
      <c r="B35" s="235" t="s">
        <v>324</v>
      </c>
      <c r="C35" s="1799">
        <v>120624955</v>
      </c>
      <c r="D35" s="1799">
        <v>1058212</v>
      </c>
      <c r="E35" s="1799">
        <v>96868125</v>
      </c>
      <c r="F35" s="1799">
        <v>17568863.189999998</v>
      </c>
      <c r="G35" s="711">
        <v>19057099.640000001</v>
      </c>
      <c r="J35"/>
      <c r="K35"/>
      <c r="L35"/>
      <c r="M35"/>
      <c r="N35"/>
      <c r="O35"/>
    </row>
    <row r="36" spans="1:15">
      <c r="A36" s="1292">
        <f t="shared" si="2"/>
        <v>20</v>
      </c>
      <c r="B36" s="235" t="s">
        <v>325</v>
      </c>
      <c r="C36" s="1799">
        <v>120856883</v>
      </c>
      <c r="D36" s="1799">
        <v>1061414</v>
      </c>
      <c r="E36" s="1799">
        <v>99652058</v>
      </c>
      <c r="F36" s="1799">
        <v>17600096.400000002</v>
      </c>
      <c r="G36" s="711">
        <v>19101616.619999994</v>
      </c>
      <c r="J36"/>
      <c r="K36"/>
      <c r="L36"/>
      <c r="M36"/>
      <c r="N36"/>
      <c r="O36"/>
    </row>
    <row r="37" spans="1:15">
      <c r="A37" s="1292">
        <f t="shared" si="2"/>
        <v>21</v>
      </c>
      <c r="B37" s="235" t="s">
        <v>48</v>
      </c>
      <c r="C37" s="1799">
        <v>121644126</v>
      </c>
      <c r="D37" s="1799">
        <v>1064617</v>
      </c>
      <c r="E37" s="1799">
        <v>97506480</v>
      </c>
      <c r="F37" s="1799">
        <v>17657145.350000001</v>
      </c>
      <c r="G37" s="711">
        <v>19145532.259999998</v>
      </c>
      <c r="J37"/>
      <c r="K37"/>
      <c r="L37"/>
      <c r="M37"/>
      <c r="N37"/>
      <c r="O37"/>
    </row>
    <row r="38" spans="1:15">
      <c r="A38" s="1292">
        <f t="shared" si="2"/>
        <v>22</v>
      </c>
      <c r="B38" s="235" t="s">
        <v>326</v>
      </c>
      <c r="C38" s="1799">
        <v>122443167</v>
      </c>
      <c r="D38" s="1799">
        <v>1067820</v>
      </c>
      <c r="E38" s="1799">
        <v>100024049</v>
      </c>
      <c r="F38" s="1799">
        <v>17714194.300000001</v>
      </c>
      <c r="G38" s="711">
        <v>19241386.890000001</v>
      </c>
      <c r="J38"/>
      <c r="K38"/>
      <c r="L38"/>
      <c r="M38"/>
      <c r="N38"/>
      <c r="O38"/>
    </row>
    <row r="39" spans="1:15">
      <c r="A39" s="1292">
        <f t="shared" si="2"/>
        <v>23</v>
      </c>
      <c r="B39" s="235" t="s">
        <v>743</v>
      </c>
      <c r="C39" s="1799">
        <v>123095526</v>
      </c>
      <c r="D39" s="1799">
        <v>1071023</v>
      </c>
      <c r="E39" s="1799">
        <v>102565631</v>
      </c>
      <c r="F39" s="1799">
        <v>17771720.5</v>
      </c>
      <c r="G39" s="711">
        <v>19355930.820000008</v>
      </c>
      <c r="J39"/>
      <c r="K39"/>
      <c r="L39"/>
      <c r="M39"/>
      <c r="N39"/>
      <c r="O39"/>
    </row>
    <row r="40" spans="1:15">
      <c r="A40" s="1292">
        <f t="shared" si="2"/>
        <v>24</v>
      </c>
      <c r="B40" s="235" t="s">
        <v>329</v>
      </c>
      <c r="C40" s="1799">
        <v>123560405</v>
      </c>
      <c r="D40" s="1799">
        <v>1074226</v>
      </c>
      <c r="E40" s="1799">
        <v>100146448</v>
      </c>
      <c r="F40" s="1799">
        <v>17829210.129999999</v>
      </c>
      <c r="G40" s="711">
        <v>19486781.43</v>
      </c>
      <c r="J40"/>
      <c r="K40"/>
      <c r="L40"/>
      <c r="M40"/>
      <c r="N40"/>
      <c r="O40"/>
    </row>
    <row r="41" spans="1:15">
      <c r="A41" s="1292">
        <f t="shared" si="2"/>
        <v>25</v>
      </c>
      <c r="B41" s="235" t="s">
        <v>516</v>
      </c>
      <c r="C41" s="1799">
        <v>120747103</v>
      </c>
      <c r="D41" s="1799">
        <v>1077429</v>
      </c>
      <c r="E41" s="1799">
        <v>102721151</v>
      </c>
      <c r="F41" s="1799">
        <v>17886700.009999998</v>
      </c>
      <c r="G41" s="711">
        <v>19553511.380000003</v>
      </c>
      <c r="J41"/>
      <c r="K41"/>
      <c r="L41"/>
      <c r="M41"/>
      <c r="N41"/>
      <c r="O41"/>
    </row>
    <row r="42" spans="1:15">
      <c r="A42" s="1292">
        <f t="shared" si="2"/>
        <v>26</v>
      </c>
      <c r="B42" s="235" t="s">
        <v>517</v>
      </c>
      <c r="C42" s="1799">
        <v>121699449</v>
      </c>
      <c r="D42" s="1799">
        <v>1080632</v>
      </c>
      <c r="E42" s="1799">
        <v>105323537</v>
      </c>
      <c r="F42" s="1799">
        <v>17944189.890000001</v>
      </c>
      <c r="G42" s="711">
        <v>18241320.089999996</v>
      </c>
      <c r="J42"/>
      <c r="K42"/>
      <c r="L42"/>
      <c r="M42"/>
      <c r="N42"/>
      <c r="O42"/>
    </row>
    <row r="43" spans="1:15">
      <c r="A43" s="1297">
        <f t="shared" si="2"/>
        <v>27</v>
      </c>
      <c r="B43" s="237" t="s">
        <v>744</v>
      </c>
      <c r="C43" s="1799">
        <v>122033546</v>
      </c>
      <c r="D43" s="1799">
        <v>1083835</v>
      </c>
      <c r="E43" s="1799">
        <v>98034099</v>
      </c>
      <c r="F43" s="1799">
        <v>18001679.769999996</v>
      </c>
      <c r="G43" s="711">
        <v>18344185.460000001</v>
      </c>
      <c r="J43"/>
      <c r="K43"/>
      <c r="L43"/>
      <c r="M43"/>
      <c r="N43"/>
      <c r="O43"/>
    </row>
    <row r="44" spans="1:15" ht="13" thickBot="1">
      <c r="A44" s="1298">
        <f t="shared" si="2"/>
        <v>28</v>
      </c>
      <c r="B44" s="1748" t="s">
        <v>1226</v>
      </c>
      <c r="C44" s="2141">
        <f>AVERAGE(C31:C43)</f>
        <v>121194444.38461539</v>
      </c>
      <c r="D44" s="1299">
        <f>AVERAGE(D31:D43)</f>
        <v>1064617.3846153845</v>
      </c>
      <c r="E44" s="1299">
        <f>AVERAGE(E31:E43)</f>
        <v>98677637.615384609</v>
      </c>
      <c r="F44" s="1299">
        <f>AVERAGE(F31:F43)</f>
        <v>17670476.059999999</v>
      </c>
      <c r="G44" s="1299">
        <f>AVERAGE(G31:G43)</f>
        <v>18963067.163076922</v>
      </c>
      <c r="J44"/>
      <c r="K44"/>
      <c r="L44"/>
      <c r="M44"/>
      <c r="N44"/>
      <c r="O44"/>
    </row>
    <row r="45" spans="1:15" ht="13" thickTop="1">
      <c r="A45" s="1284"/>
      <c r="B45" s="240"/>
      <c r="C45" s="241"/>
      <c r="D45" s="241"/>
      <c r="E45" s="241"/>
      <c r="F45" s="739"/>
      <c r="G45" s="739"/>
      <c r="H45"/>
      <c r="I45"/>
      <c r="J45"/>
      <c r="K45"/>
      <c r="L45"/>
      <c r="M45"/>
      <c r="N45"/>
      <c r="O45"/>
    </row>
    <row r="46" spans="1:15">
      <c r="A46" s="1284">
        <f>+A44+1</f>
        <v>29</v>
      </c>
      <c r="B46" s="240" t="str">
        <f>"Transmission Accumulated,  net of GSU and Excluded- Ln "&amp;A24&amp;" Col "&amp;E9&amp;" less Ln "&amp;A44&amp;" Cols. "&amp;F29&amp;" &amp; "&amp;G29</f>
        <v>Transmission Accumulated,  net of GSU and Excluded- Ln 14 Col (d) less Ln 28 Cols. (e) &amp; (f)</v>
      </c>
      <c r="C46" s="241"/>
      <c r="D46" s="241"/>
      <c r="G46" s="738">
        <f>+E24-F44-G44</f>
        <v>632250689.46923089</v>
      </c>
      <c r="H46" s="739"/>
      <c r="I46" s="739"/>
      <c r="J46" s="739"/>
      <c r="K46" s="241"/>
      <c r="L46" s="241"/>
      <c r="M46" s="241"/>
      <c r="N46" s="1300"/>
      <c r="O46" s="1300"/>
    </row>
    <row r="47" spans="1:15">
      <c r="A47" s="1284"/>
      <c r="B47" s="240"/>
      <c r="C47" s="241"/>
      <c r="D47" s="241"/>
      <c r="E47" s="241"/>
      <c r="F47" s="739"/>
      <c r="G47" s="739"/>
      <c r="H47" s="739"/>
      <c r="I47" s="739"/>
      <c r="J47" s="739"/>
      <c r="K47" s="241"/>
      <c r="L47" s="241"/>
      <c r="M47" s="241"/>
      <c r="N47" s="1300"/>
      <c r="O47" s="1300"/>
    </row>
    <row r="48" spans="1:15">
      <c r="A48" s="1284"/>
      <c r="B48" s="240"/>
      <c r="C48" s="241"/>
      <c r="D48" s="241"/>
      <c r="E48" s="241"/>
      <c r="F48" s="739"/>
      <c r="G48" s="739"/>
      <c r="H48" s="739"/>
      <c r="I48" s="739"/>
      <c r="J48" s="739"/>
      <c r="K48" s="241"/>
      <c r="L48" s="241"/>
      <c r="M48" s="241"/>
      <c r="N48" s="1300"/>
      <c r="O48" s="1300"/>
    </row>
    <row r="49" spans="1:1">
      <c r="A49" s="1282"/>
    </row>
    <row r="50" spans="1:1">
      <c r="A50" s="1282"/>
    </row>
  </sheetData>
  <mergeCells count="6">
    <mergeCell ref="C27:G27"/>
    <mergeCell ref="A2:H2"/>
    <mergeCell ref="A3:H3"/>
    <mergeCell ref="A4:H4"/>
    <mergeCell ref="A5:H5"/>
    <mergeCell ref="C7:H7"/>
  </mergeCells>
  <pageMargins left="0.7" right="0.7" top="0.75" bottom="0.75" header="0.3" footer="0.3"/>
  <pageSetup scale="10" orientation="portrait" cellComments="asDisplayed" r:id="rId1"/>
  <headerFooter>
    <oddHeader>&amp;RAEP - SPP Formula Rate
TCOS - WS A-2
Page: &amp;P of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M19"/>
  <sheetViews>
    <sheetView zoomScaleNormal="100" workbookViewId="0">
      <selection activeCell="D9" sqref="D9"/>
    </sheetView>
  </sheetViews>
  <sheetFormatPr defaultColWidth="9.1796875" defaultRowHeight="12.5"/>
  <cols>
    <col min="1" max="1" width="9.1796875" style="286"/>
    <col min="2" max="3" width="27.54296875" style="286" customWidth="1"/>
    <col min="4" max="4" width="41.453125" style="286" customWidth="1"/>
    <col min="5" max="16384" width="9.1796875" style="286"/>
  </cols>
  <sheetData>
    <row r="1" spans="1:13" ht="15.5">
      <c r="A1" s="206"/>
    </row>
    <row r="2" spans="1:13" ht="15.5">
      <c r="A2" s="2284" t="str">
        <f>+'SWEPCO TCOS'!F4</f>
        <v xml:space="preserve">AEP West SPP Member Operating Companies </v>
      </c>
      <c r="B2" s="2284"/>
      <c r="C2" s="2284"/>
      <c r="D2" s="2284"/>
      <c r="E2" s="18"/>
      <c r="F2" s="18"/>
      <c r="G2" s="18"/>
      <c r="H2" s="18"/>
      <c r="I2" s="18"/>
      <c r="J2" s="18"/>
      <c r="K2" s="18"/>
      <c r="L2" s="18"/>
      <c r="M2" s="18"/>
    </row>
    <row r="3" spans="1:13" ht="15.5">
      <c r="A3" s="2402" t="str">
        <f>+'SWEPCO WS A-1 - Plant'!A3</f>
        <v xml:space="preserve">Actual / Projected 2024 Rate Year Cost of Service Formula Rate </v>
      </c>
      <c r="B3" s="2402"/>
      <c r="C3" s="2402"/>
      <c r="D3" s="2402"/>
      <c r="E3" s="1283"/>
      <c r="F3" s="1283"/>
      <c r="G3" s="1283"/>
      <c r="H3" s="1283"/>
      <c r="I3" s="1283"/>
      <c r="J3" s="1283"/>
      <c r="K3" s="1283"/>
      <c r="L3" s="1283"/>
      <c r="M3" s="1283"/>
    </row>
    <row r="4" spans="1:13" ht="15.5">
      <c r="A4" s="2403" t="s">
        <v>651</v>
      </c>
      <c r="B4" s="2403"/>
      <c r="C4" s="2403"/>
      <c r="D4" s="2403"/>
      <c r="E4" s="1283"/>
      <c r="F4" s="1283"/>
      <c r="G4" s="1283"/>
      <c r="H4" s="1283"/>
      <c r="I4" s="1283"/>
      <c r="J4" s="1283"/>
      <c r="K4" s="1283"/>
      <c r="L4" s="1283"/>
      <c r="M4" s="1283"/>
    </row>
    <row r="5" spans="1:13" ht="15.5">
      <c r="A5" s="2285" t="str">
        <f>+'SWEPCO TCOS'!F8</f>
        <v>SOUTHWESTERN ELECTRIC POWER COMPANY</v>
      </c>
      <c r="B5" s="2285"/>
      <c r="C5" s="2285"/>
      <c r="D5" s="2285"/>
      <c r="E5" s="741"/>
      <c r="F5" s="741"/>
      <c r="G5" s="741"/>
      <c r="H5" s="741"/>
      <c r="I5" s="741"/>
      <c r="J5" s="741"/>
      <c r="K5" s="741"/>
      <c r="L5" s="741"/>
      <c r="M5" s="741"/>
    </row>
    <row r="6" spans="1:13" ht="13">
      <c r="A6" s="1312"/>
      <c r="B6" s="1312"/>
      <c r="C6" s="1312"/>
      <c r="D6" s="1312"/>
    </row>
    <row r="7" spans="1:13" ht="14">
      <c r="A7" s="743" t="s">
        <v>527</v>
      </c>
      <c r="B7" s="744"/>
      <c r="C7" s="1313" t="s">
        <v>345</v>
      </c>
      <c r="D7" s="1314" t="s">
        <v>309</v>
      </c>
    </row>
    <row r="8" spans="1:13" ht="14">
      <c r="A8" s="1315"/>
      <c r="B8" s="1316"/>
      <c r="C8" s="1317"/>
      <c r="D8" s="1317"/>
    </row>
    <row r="9" spans="1:13" ht="14">
      <c r="A9" s="750">
        <v>1</v>
      </c>
      <c r="B9" s="751" t="s">
        <v>529</v>
      </c>
      <c r="C9" s="752"/>
      <c r="D9" s="779">
        <v>0</v>
      </c>
    </row>
    <row r="10" spans="1:13" ht="14">
      <c r="A10" s="752"/>
      <c r="B10" s="752"/>
      <c r="C10" s="752"/>
      <c r="D10" s="752"/>
    </row>
    <row r="11" spans="1:13" ht="14">
      <c r="A11" s="752"/>
      <c r="B11" s="752"/>
      <c r="C11" s="752"/>
      <c r="D11" s="752"/>
    </row>
    <row r="12" spans="1:13" ht="119.25" customHeight="1">
      <c r="A12" s="753" t="s">
        <v>528</v>
      </c>
      <c r="B12" s="2286" t="s">
        <v>646</v>
      </c>
      <c r="C12" s="2286"/>
      <c r="D12" s="2286"/>
    </row>
    <row r="13" spans="1:13" ht="14">
      <c r="A13" s="752"/>
      <c r="B13" s="752"/>
      <c r="C13" s="752"/>
      <c r="D13" s="752"/>
    </row>
    <row r="14" spans="1:13" ht="14">
      <c r="A14" s="752"/>
      <c r="B14" s="752"/>
      <c r="C14" s="752"/>
      <c r="D14" s="752"/>
    </row>
    <row r="15" spans="1:13" ht="14">
      <c r="A15" s="752"/>
      <c r="B15" s="752"/>
      <c r="C15" s="752"/>
      <c r="D15" s="752"/>
    </row>
    <row r="16" spans="1:13" ht="14">
      <c r="A16" s="753"/>
      <c r="B16" s="754"/>
      <c r="C16" s="752"/>
      <c r="D16" s="752"/>
    </row>
    <row r="17" spans="1:2" ht="15" customHeight="1">
      <c r="A17" s="752"/>
    </row>
    <row r="18" spans="1:2" ht="15.5">
      <c r="B18" s="755"/>
    </row>
    <row r="19" spans="1:2" ht="15.5">
      <c r="B19" s="755"/>
    </row>
  </sheetData>
  <mergeCells count="5">
    <mergeCell ref="A2:D2"/>
    <mergeCell ref="A3:D3"/>
    <mergeCell ref="A4:D4"/>
    <mergeCell ref="A5:D5"/>
    <mergeCell ref="B12:D12"/>
  </mergeCells>
  <pageMargins left="0.7" right="0.7" top="0.75" bottom="0.75" header="0.3" footer="0.3"/>
  <pageSetup scale="87" fitToHeight="0" orientation="portrait" r:id="rId1"/>
  <headerFooter>
    <oddHeader xml:space="preserve">&amp;RAEP - SPP Formula Rate
TCOS - WS B
Page: &amp;P of &amp;N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244"/>
  <sheetViews>
    <sheetView topLeftCell="A12" zoomScale="81" zoomScaleNormal="81" zoomScaleSheetLayoutView="93" zoomScalePageLayoutView="80" workbookViewId="0">
      <selection activeCell="D20" sqref="D20"/>
    </sheetView>
  </sheetViews>
  <sheetFormatPr defaultColWidth="9.1796875" defaultRowHeight="12.5"/>
  <cols>
    <col min="1" max="2" width="9.54296875" style="1318" customWidth="1"/>
    <col min="3" max="3" width="50.54296875" style="1319" customWidth="1"/>
    <col min="4" max="10" width="16.54296875" style="1319" customWidth="1"/>
    <col min="11" max="11" width="13.81640625" style="1319" customWidth="1"/>
    <col min="12" max="16384" width="9.1796875" style="1319"/>
  </cols>
  <sheetData>
    <row r="1" spans="1:16" ht="15.5">
      <c r="A1" s="210"/>
    </row>
    <row r="2" spans="1:16" ht="17.5">
      <c r="A2" s="2289" t="str">
        <f>+'SWEPCO TCOS'!F4</f>
        <v xml:space="preserve">AEP West SPP Member Operating Companies </v>
      </c>
      <c r="B2" s="2289"/>
      <c r="C2" s="2289"/>
      <c r="D2" s="2289"/>
      <c r="E2" s="2289"/>
      <c r="F2" s="2289"/>
      <c r="G2" s="2289"/>
      <c r="H2" s="2289"/>
      <c r="I2" s="2289"/>
      <c r="J2" s="2289"/>
      <c r="K2" s="128"/>
      <c r="L2" s="286"/>
      <c r="M2" s="286"/>
      <c r="N2" s="286"/>
      <c r="O2" s="286"/>
      <c r="P2" s="286"/>
    </row>
    <row r="3" spans="1:16" ht="17.5">
      <c r="A3" s="2405" t="str">
        <f>+'SWEPCO WS A-1 - Plant'!A3</f>
        <v xml:space="preserve">Actual / Projected 2024 Rate Year Cost of Service Formula Rate </v>
      </c>
      <c r="B3" s="2405"/>
      <c r="C3" s="2405"/>
      <c r="D3" s="2405"/>
      <c r="E3" s="2405"/>
      <c r="F3" s="2405"/>
      <c r="G3" s="2405"/>
      <c r="H3" s="2405"/>
      <c r="I3" s="2405"/>
      <c r="J3" s="2405"/>
      <c r="K3" s="128"/>
      <c r="L3" s="286"/>
      <c r="M3" s="286"/>
      <c r="N3" s="286"/>
      <c r="O3" s="286"/>
      <c r="P3" s="286"/>
    </row>
    <row r="4" spans="1:16" ht="18">
      <c r="A4" s="2405" t="s">
        <v>530</v>
      </c>
      <c r="B4" s="2405"/>
      <c r="C4" s="2405"/>
      <c r="D4" s="2405"/>
      <c r="E4" s="2405"/>
      <c r="F4" s="2405"/>
      <c r="G4" s="2405"/>
      <c r="H4" s="2405"/>
      <c r="I4" s="2405"/>
      <c r="J4" s="2405"/>
    </row>
    <row r="5" spans="1:16" ht="18">
      <c r="A5" s="2291" t="str">
        <f>+'SWEPCO TCOS'!F8</f>
        <v>SOUTHWESTERN ELECTRIC POWER COMPANY</v>
      </c>
      <c r="B5" s="2291"/>
      <c r="C5" s="2291"/>
      <c r="D5" s="2291"/>
      <c r="E5" s="2291"/>
      <c r="F5" s="2291"/>
      <c r="G5" s="2291"/>
      <c r="H5" s="2291"/>
      <c r="I5" s="2291"/>
      <c r="J5" s="2291"/>
    </row>
    <row r="6" spans="1:16" ht="20">
      <c r="B6" s="130"/>
      <c r="C6" s="127"/>
      <c r="D6" s="127"/>
      <c r="E6" s="36"/>
      <c r="F6" s="127"/>
      <c r="G6" s="127"/>
      <c r="H6" s="127"/>
      <c r="I6" s="127"/>
      <c r="J6" s="36"/>
    </row>
    <row r="7" spans="1:16" ht="20">
      <c r="B7" s="130"/>
      <c r="C7" s="36" t="s">
        <v>254</v>
      </c>
      <c r="D7" s="127"/>
      <c r="E7" s="36"/>
      <c r="F7" s="127"/>
      <c r="G7" s="127"/>
      <c r="H7" s="127"/>
      <c r="I7" s="127"/>
      <c r="J7" s="127"/>
    </row>
    <row r="8" spans="1:16" ht="13">
      <c r="C8" s="131"/>
      <c r="G8" s="1318"/>
      <c r="H8" s="1318"/>
      <c r="I8" s="1318"/>
    </row>
    <row r="9" spans="1:16" ht="13">
      <c r="B9" s="13" t="s">
        <v>301</v>
      </c>
      <c r="C9" s="13" t="s">
        <v>302</v>
      </c>
      <c r="D9" s="13" t="s">
        <v>303</v>
      </c>
      <c r="E9" s="13" t="s">
        <v>229</v>
      </c>
      <c r="F9" s="13" t="s">
        <v>230</v>
      </c>
      <c r="G9" s="13" t="s">
        <v>231</v>
      </c>
      <c r="H9" s="13" t="s">
        <v>236</v>
      </c>
      <c r="I9" s="13" t="s">
        <v>177</v>
      </c>
      <c r="J9" s="13" t="s">
        <v>73</v>
      </c>
    </row>
    <row r="10" spans="1:16" ht="13">
      <c r="E10" s="132" t="s">
        <v>254</v>
      </c>
      <c r="F10" s="15" t="s">
        <v>232</v>
      </c>
      <c r="G10" s="13" t="s">
        <v>158</v>
      </c>
      <c r="H10" s="13" t="s">
        <v>74</v>
      </c>
      <c r="I10" s="13" t="s">
        <v>254</v>
      </c>
      <c r="J10" s="13" t="s">
        <v>317</v>
      </c>
    </row>
    <row r="11" spans="1:16" ht="13">
      <c r="A11" s="13" t="s">
        <v>308</v>
      </c>
      <c r="C11" s="24"/>
      <c r="D11" s="13"/>
      <c r="E11" s="13" t="s">
        <v>254</v>
      </c>
      <c r="F11" s="13" t="s">
        <v>255</v>
      </c>
      <c r="G11" s="13" t="s">
        <v>193</v>
      </c>
      <c r="H11" s="13" t="s">
        <v>75</v>
      </c>
      <c r="I11" s="13" t="s">
        <v>300</v>
      </c>
      <c r="J11" s="13" t="s">
        <v>72</v>
      </c>
    </row>
    <row r="12" spans="1:16" ht="13">
      <c r="A12" s="16" t="s">
        <v>257</v>
      </c>
      <c r="B12" s="16" t="s">
        <v>235</v>
      </c>
      <c r="C12" s="16" t="s">
        <v>306</v>
      </c>
      <c r="D12" s="16" t="s">
        <v>233</v>
      </c>
      <c r="E12" s="16" t="s">
        <v>76</v>
      </c>
      <c r="F12" s="16" t="s">
        <v>194</v>
      </c>
      <c r="G12" s="16" t="s">
        <v>194</v>
      </c>
      <c r="H12" s="16" t="s">
        <v>77</v>
      </c>
      <c r="I12" s="16" t="s">
        <v>194</v>
      </c>
      <c r="J12" s="16" t="s">
        <v>1268</v>
      </c>
    </row>
    <row r="13" spans="1:16" ht="13">
      <c r="C13" s="131"/>
      <c r="G13" s="1318"/>
      <c r="H13" s="1318"/>
      <c r="I13" s="1318"/>
    </row>
    <row r="14" spans="1:16" ht="12.75" customHeight="1">
      <c r="C14" s="24"/>
      <c r="G14" s="1318"/>
      <c r="H14" s="1318"/>
      <c r="I14" s="1318"/>
    </row>
    <row r="15" spans="1:16" ht="12.75" customHeight="1">
      <c r="B15" s="141" t="s">
        <v>504</v>
      </c>
      <c r="C15" s="24"/>
      <c r="G15" s="1318"/>
      <c r="H15" s="1318"/>
      <c r="I15" s="1318"/>
    </row>
    <row r="16" spans="1:16" ht="12.75" customHeight="1">
      <c r="C16" s="24"/>
      <c r="G16" s="1318"/>
      <c r="H16" s="1318"/>
      <c r="I16" s="1318"/>
    </row>
    <row r="17" spans="1:10" ht="15.5">
      <c r="C17" s="142" t="s">
        <v>506</v>
      </c>
      <c r="D17"/>
    </row>
    <row r="18" spans="1:10" ht="6" customHeight="1">
      <c r="C18" s="29"/>
    </row>
    <row r="19" spans="1:10" ht="12.75" customHeight="1">
      <c r="A19" s="1318">
        <v>1</v>
      </c>
      <c r="B19" s="1320" t="s">
        <v>80</v>
      </c>
      <c r="C19" s="892" t="str">
        <f>""&amp;'SWEPCO TCOS'!N2&amp;" Year End Tax Deferrals - WS C-1"</f>
        <v>2024 Year End Tax Deferrals - WS C-1</v>
      </c>
      <c r="D19" s="1321">
        <f>+'SWEPCO WS C-1 ADIT EOY'!H46+1</f>
        <v>-1380846169.7000003</v>
      </c>
      <c r="E19" s="1321">
        <f>+'SWEPCO WS C-1 ADIT EOY'!J46</f>
        <v>-259406306.27569774</v>
      </c>
      <c r="F19" s="1321">
        <f>+'SWEPCO WS C-1 ADIT EOY'!K46</f>
        <v>-48733136.963268876</v>
      </c>
      <c r="G19" s="1321">
        <f>+'SWEPCO WS C-1 ADIT EOY'!L46</f>
        <v>-1082432794.8810334</v>
      </c>
      <c r="H19" s="1321">
        <f>+'SWEPCO WS C-1 ADIT EOY'!M46</f>
        <v>0</v>
      </c>
      <c r="I19" s="1321">
        <f>+'SWEPCO WS C-1 ADIT EOY'!N46</f>
        <v>9726067.4199999999</v>
      </c>
      <c r="J19" s="1322"/>
    </row>
    <row r="20" spans="1:10" ht="12.75" customHeight="1">
      <c r="A20" s="1318">
        <f>+A19+1</f>
        <v>2</v>
      </c>
      <c r="B20" s="1320" t="s">
        <v>80</v>
      </c>
      <c r="C20" s="892" t="str">
        <f>""&amp;'SWEPCO TCOS'!N2-1&amp;" Year End Tax Deferrals - WS C-2"</f>
        <v>2023 Year End Tax Deferrals - WS C-2</v>
      </c>
      <c r="D20" s="1321">
        <f>+'SWEPCO WS C-2 ADIT BOY'!H46+1</f>
        <v>-1484914274.75</v>
      </c>
      <c r="E20" s="1321">
        <f>+'SWEPCO WS C-2 ADIT BOY'!J46</f>
        <v>-423420816.86626756</v>
      </c>
      <c r="F20" s="1321">
        <f>+'SWEPCO WS C-2 ADIT BOY'!K46</f>
        <v>-48639883.302854583</v>
      </c>
      <c r="G20" s="1321">
        <f>+'SWEPCO WS C-2 ADIT BOY'!L46</f>
        <v>-1010483883.0408781</v>
      </c>
      <c r="H20" s="1321">
        <f>+'SWEPCO WS C-2 ADIT BOY'!M46</f>
        <v>0</v>
      </c>
      <c r="I20" s="1321">
        <f>+'SWEPCO WS C-2 ADIT BOY'!N46</f>
        <v>9725147.459999999</v>
      </c>
      <c r="J20" s="1318"/>
    </row>
    <row r="21" spans="1:10" ht="12.75" customHeight="1">
      <c r="B21" s="135" t="s">
        <v>254</v>
      </c>
      <c r="D21" s="1323"/>
      <c r="E21" s="1324"/>
      <c r="F21" s="1323"/>
      <c r="G21" s="1323" t="s">
        <v>254</v>
      </c>
      <c r="H21" s="1323"/>
      <c r="I21" s="1323"/>
    </row>
    <row r="22" spans="1:10" ht="12.75" customHeight="1">
      <c r="A22" s="1318">
        <f>+A20+1</f>
        <v>3</v>
      </c>
      <c r="C22" s="24" t="s">
        <v>78</v>
      </c>
      <c r="D22" s="1321">
        <f t="shared" ref="D22:I22" si="0">D19+D20</f>
        <v>-2865760444.4500003</v>
      </c>
      <c r="E22" s="1321">
        <f t="shared" si="0"/>
        <v>-682827123.14196527</v>
      </c>
      <c r="F22" s="1321">
        <f t="shared" si="0"/>
        <v>-97373020.266123459</v>
      </c>
      <c r="G22" s="1321">
        <f t="shared" si="0"/>
        <v>-2092916677.9219115</v>
      </c>
      <c r="H22" s="1321">
        <f t="shared" si="0"/>
        <v>0</v>
      </c>
      <c r="I22" s="1321">
        <f t="shared" si="0"/>
        <v>19451214.879999999</v>
      </c>
      <c r="J22" s="1325"/>
    </row>
    <row r="23" spans="1:10" ht="12.75" customHeight="1">
      <c r="A23" s="1318">
        <f>+A22+1</f>
        <v>4</v>
      </c>
      <c r="C23" s="24" t="s">
        <v>641</v>
      </c>
      <c r="D23" s="1326">
        <f t="shared" ref="D23:I23" si="1">D22/2</f>
        <v>-1432880222.2250001</v>
      </c>
      <c r="E23" s="1326">
        <f t="shared" si="1"/>
        <v>-341413561.57098264</v>
      </c>
      <c r="F23" s="1326">
        <f t="shared" si="1"/>
        <v>-48686510.133061729</v>
      </c>
      <c r="G23" s="1326">
        <f t="shared" si="1"/>
        <v>-1046458338.9609557</v>
      </c>
      <c r="H23" s="892">
        <f t="shared" si="1"/>
        <v>0</v>
      </c>
      <c r="I23" s="1321">
        <f t="shared" si="1"/>
        <v>9725607.4399999995</v>
      </c>
      <c r="J23" s="1325"/>
    </row>
    <row r="24" spans="1:10" ht="12.75" customHeight="1">
      <c r="A24" s="1318">
        <f>+A23+1</f>
        <v>5</v>
      </c>
      <c r="B24" s="1327"/>
      <c r="C24" s="1328" t="str">
        <f>"Proration Adjustment - WS C-3, Ln "&amp;'SWEPCO WS C-3 ADIT Proration'!A34</f>
        <v>Proration Adjustment - WS C-3, Ln 19</v>
      </c>
      <c r="D24" s="1326"/>
      <c r="E24" s="1326"/>
      <c r="F24" s="1326"/>
      <c r="G24" s="1326">
        <f>'SWEPCO WS C-3 ADIT Proration'!I34</f>
        <v>0</v>
      </c>
      <c r="H24" s="892"/>
      <c r="I24" s="1329"/>
      <c r="J24" s="1325"/>
    </row>
    <row r="25" spans="1:10" ht="12.75" customHeight="1">
      <c r="A25" s="1318">
        <f>+A24+1</f>
        <v>6</v>
      </c>
      <c r="C25" s="24" t="s">
        <v>526</v>
      </c>
      <c r="D25" s="1330">
        <f t="shared" ref="D25:I25" si="2">+D23+D24</f>
        <v>-1432880222.2250001</v>
      </c>
      <c r="E25" s="1330">
        <f t="shared" si="2"/>
        <v>-341413561.57098264</v>
      </c>
      <c r="F25" s="1330">
        <f t="shared" si="2"/>
        <v>-48686510.133061729</v>
      </c>
      <c r="G25" s="1330">
        <f t="shared" si="2"/>
        <v>-1046458338.9609557</v>
      </c>
      <c r="H25" s="1330">
        <f t="shared" si="2"/>
        <v>0</v>
      </c>
      <c r="I25" s="1330">
        <f t="shared" si="2"/>
        <v>9725607.4399999995</v>
      </c>
      <c r="J25" s="1325"/>
    </row>
    <row r="26" spans="1:10" ht="12.75" customHeight="1">
      <c r="A26" s="1318">
        <f>+A25+1</f>
        <v>7</v>
      </c>
      <c r="B26" s="136"/>
      <c r="C26" s="134" t="s">
        <v>642</v>
      </c>
      <c r="D26" s="1331"/>
      <c r="E26" s="765">
        <v>0</v>
      </c>
      <c r="F26" s="765">
        <v>1</v>
      </c>
      <c r="G26" s="765">
        <f>'SWEPCO TCOS'!J63</f>
        <v>0.24070348547144088</v>
      </c>
      <c r="H26" s="765">
        <f>'SWEPCO TCOS'!J64</f>
        <v>0.48244732979204469</v>
      </c>
      <c r="I26" s="765">
        <f>'SWEPCO TCOS'!L221</f>
        <v>0.11769464301813617</v>
      </c>
    </row>
    <row r="27" spans="1:10" ht="12.75" customHeight="1">
      <c r="A27" s="1318">
        <f>+A26+1</f>
        <v>8</v>
      </c>
      <c r="C27" s="24" t="s">
        <v>79</v>
      </c>
      <c r="E27" s="1325">
        <f>E26*E25</f>
        <v>0</v>
      </c>
      <c r="F27" s="1325">
        <f>F26*F25</f>
        <v>-48686510.133061729</v>
      </c>
      <c r="G27" s="1325">
        <f>G26*G25</f>
        <v>-251886169.58855656</v>
      </c>
      <c r="H27" s="1325">
        <f>H26*H25</f>
        <v>0</v>
      </c>
      <c r="I27" s="1325">
        <f>I26*I25</f>
        <v>1144651.8957853292</v>
      </c>
      <c r="J27" s="766">
        <f>SUM(F27:I27)</f>
        <v>-299428027.82583296</v>
      </c>
    </row>
    <row r="28" spans="1:10" ht="12.75" customHeight="1">
      <c r="C28" s="29"/>
    </row>
    <row r="29" spans="1:10" ht="12.75" customHeight="1">
      <c r="C29" s="29"/>
    </row>
    <row r="30" spans="1:10" ht="12.75" customHeight="1">
      <c r="C30" s="142" t="s">
        <v>507</v>
      </c>
      <c r="D30"/>
    </row>
    <row r="31" spans="1:10" ht="6" customHeight="1">
      <c r="C31" s="29"/>
    </row>
    <row r="32" spans="1:10" ht="12.75" customHeight="1">
      <c r="A32" s="1318">
        <f>+A27:B27+1</f>
        <v>9</v>
      </c>
      <c r="B32" s="1320" t="s">
        <v>91</v>
      </c>
      <c r="C32" s="892" t="str">
        <f>+C19</f>
        <v>2024 Year End Tax Deferrals - WS C-1</v>
      </c>
      <c r="D32" s="1321">
        <f>+'SWEPCO WS C-1 ADIT EOY'!H141+1</f>
        <v>-86940575.190000013</v>
      </c>
      <c r="E32" s="1321">
        <f>+'SWEPCO WS C-1 ADIT EOY'!J141</f>
        <v>-76913178.000000015</v>
      </c>
      <c r="F32" s="1321">
        <f>+'SWEPCO WS C-1 ADIT EOY'!K141</f>
        <v>0</v>
      </c>
      <c r="G32" s="1321">
        <f>+'SWEPCO WS C-1 ADIT EOY'!L141</f>
        <v>11184585.719999999</v>
      </c>
      <c r="H32" s="1321">
        <f>+'SWEPCO WS C-1 ADIT EOY'!M141</f>
        <v>0</v>
      </c>
      <c r="I32" s="1321">
        <f>+'SWEPCO WS C-1 ADIT EOY'!N141</f>
        <v>-21211983.91</v>
      </c>
      <c r="J32" s="1322"/>
    </row>
    <row r="33" spans="1:10" ht="12.75" customHeight="1">
      <c r="A33" s="1318">
        <f>+A32+1</f>
        <v>10</v>
      </c>
      <c r="B33" s="1320" t="s">
        <v>91</v>
      </c>
      <c r="C33" s="892" t="str">
        <f>+C20</f>
        <v>2023 Year End Tax Deferrals - WS C-2</v>
      </c>
      <c r="D33" s="1321">
        <f>+'SWEPCO WS C-2 ADIT BOY'!H132</f>
        <v>-144255274.30000001</v>
      </c>
      <c r="E33" s="1321">
        <f>+'SWEPCO WS C-2 ADIT BOY'!J132</f>
        <v>-78936960.470000029</v>
      </c>
      <c r="F33" s="1321">
        <f>+'SWEPCO WS C-2 ADIT BOY'!K132</f>
        <v>0</v>
      </c>
      <c r="G33" s="1321">
        <f>+'SWEPCO WS C-2 ADIT BOY'!L132</f>
        <v>-42901661.090000004</v>
      </c>
      <c r="H33" s="1321">
        <f>+'SWEPCO WS C-2 ADIT BOY'!M132</f>
        <v>0</v>
      </c>
      <c r="I33" s="1321">
        <f>+'SWEPCO WS C-2 ADIT BOY'!N132</f>
        <v>-22416652.740000002</v>
      </c>
      <c r="J33" s="1318"/>
    </row>
    <row r="34" spans="1:10" ht="12.75" customHeight="1">
      <c r="B34" s="135" t="s">
        <v>254</v>
      </c>
      <c r="D34" s="1323"/>
      <c r="E34" s="1324"/>
      <c r="F34" s="1323"/>
      <c r="G34" s="1323" t="s">
        <v>254</v>
      </c>
      <c r="H34" s="1323"/>
      <c r="I34" s="1323"/>
    </row>
    <row r="35" spans="1:10" ht="12.75" customHeight="1">
      <c r="A35" s="1318">
        <f>+A33+1</f>
        <v>11</v>
      </c>
      <c r="C35" s="24" t="s">
        <v>78</v>
      </c>
      <c r="D35" s="1321">
        <f t="shared" ref="D35:I35" si="3">D32+D33</f>
        <v>-231195849.49000001</v>
      </c>
      <c r="E35" s="1321">
        <f t="shared" si="3"/>
        <v>-155850138.47000003</v>
      </c>
      <c r="F35" s="1321">
        <f t="shared" si="3"/>
        <v>0</v>
      </c>
      <c r="G35" s="1321">
        <f t="shared" si="3"/>
        <v>-31717075.370000005</v>
      </c>
      <c r="H35" s="1321">
        <f t="shared" si="3"/>
        <v>0</v>
      </c>
      <c r="I35" s="1321">
        <f t="shared" si="3"/>
        <v>-43628636.650000006</v>
      </c>
      <c r="J35" s="1325"/>
    </row>
    <row r="36" spans="1:10" ht="12.75" customHeight="1">
      <c r="A36" s="1318">
        <f>+A35+1</f>
        <v>12</v>
      </c>
      <c r="C36" s="24" t="s">
        <v>352</v>
      </c>
      <c r="D36" s="1326">
        <f t="shared" ref="D36:I36" si="4">D35/2</f>
        <v>-115597924.745</v>
      </c>
      <c r="E36" s="1326">
        <f t="shared" si="4"/>
        <v>-77925069.235000014</v>
      </c>
      <c r="F36" s="1326">
        <f t="shared" si="4"/>
        <v>0</v>
      </c>
      <c r="G36" s="1326">
        <f t="shared" si="4"/>
        <v>-15858537.685000002</v>
      </c>
      <c r="H36" s="1326">
        <f t="shared" si="4"/>
        <v>0</v>
      </c>
      <c r="I36" s="1326">
        <f t="shared" si="4"/>
        <v>-21814318.325000003</v>
      </c>
      <c r="J36" s="1325"/>
    </row>
    <row r="37" spans="1:10" ht="12.75" customHeight="1">
      <c r="A37" s="1318">
        <f>+A36+1</f>
        <v>13</v>
      </c>
      <c r="B37" s="136"/>
      <c r="C37" s="134" t="s">
        <v>643</v>
      </c>
      <c r="D37" s="1331"/>
      <c r="E37" s="765">
        <f>E26</f>
        <v>0</v>
      </c>
      <c r="F37" s="765">
        <f>F26</f>
        <v>1</v>
      </c>
      <c r="G37" s="765">
        <f>G26</f>
        <v>0.24070348547144088</v>
      </c>
      <c r="H37" s="765">
        <f>H26</f>
        <v>0.48244732979204469</v>
      </c>
      <c r="I37" s="765">
        <f>I26</f>
        <v>0.11769464301813617</v>
      </c>
    </row>
    <row r="38" spans="1:10" ht="12.75" customHeight="1">
      <c r="A38" s="1318">
        <f>+A37+1</f>
        <v>14</v>
      </c>
      <c r="C38" s="24" t="s">
        <v>79</v>
      </c>
      <c r="E38" s="1325">
        <f>E36*E37</f>
        <v>0</v>
      </c>
      <c r="F38" s="1325">
        <f>F36*F37</f>
        <v>0</v>
      </c>
      <c r="G38" s="1325">
        <f>G36*G37</f>
        <v>-3817205.295259696</v>
      </c>
      <c r="H38" s="1325">
        <f>H36*H37</f>
        <v>0</v>
      </c>
      <c r="I38" s="1325">
        <f>I36*I37</f>
        <v>-2567428.4079448618</v>
      </c>
      <c r="J38" s="766">
        <f>SUM(F38:I38)</f>
        <v>-6384633.7032045573</v>
      </c>
    </row>
    <row r="39" spans="1:10" ht="12.75" customHeight="1">
      <c r="C39" s="29"/>
    </row>
    <row r="40" spans="1:10" ht="12.75" customHeight="1">
      <c r="B40" s="25"/>
      <c r="C40" s="126"/>
      <c r="D40" s="126"/>
      <c r="E40" s="126"/>
      <c r="F40" s="126"/>
      <c r="G40" s="126"/>
      <c r="H40" s="126"/>
      <c r="I40" s="126"/>
      <c r="J40" s="126"/>
    </row>
    <row r="41" spans="1:10" ht="12.75" customHeight="1">
      <c r="C41" s="24"/>
      <c r="E41" s="1325"/>
      <c r="F41" s="1325"/>
      <c r="G41" s="1325"/>
      <c r="H41" s="1325"/>
      <c r="I41" s="1325"/>
      <c r="J41" s="1325"/>
    </row>
    <row r="42" spans="1:10" ht="15.5">
      <c r="C42" s="142" t="s">
        <v>505</v>
      </c>
    </row>
    <row r="43" spans="1:10" ht="12.75" customHeight="1">
      <c r="D43"/>
      <c r="I43" s="767"/>
    </row>
    <row r="44" spans="1:10" ht="12.75" customHeight="1">
      <c r="A44" s="1318">
        <f>+A38+1</f>
        <v>15</v>
      </c>
      <c r="B44" s="1332">
        <v>190.1</v>
      </c>
      <c r="C44" s="892" t="str">
        <f>+C19</f>
        <v>2024 Year End Tax Deferrals - WS C-1</v>
      </c>
      <c r="D44" s="1321">
        <f>+'SWEPCO WS C-1 ADIT EOY'!H204</f>
        <v>128383315.55</v>
      </c>
      <c r="E44" s="1321">
        <f>+'SWEPCO WS C-1 ADIT EOY'!J204</f>
        <v>-237956235.18110001</v>
      </c>
      <c r="F44" s="1321">
        <f>+'SWEPCO WS C-1 ADIT EOY'!K204</f>
        <v>0</v>
      </c>
      <c r="G44" s="1321">
        <f>+'SWEPCO WS C-1 ADIT EOY'!L204</f>
        <v>366355779.94109994</v>
      </c>
      <c r="H44" s="1321">
        <f>+'SWEPCO WS C-1 ADIT EOY'!M204</f>
        <v>0</v>
      </c>
      <c r="I44" s="1321">
        <f>+'SWEPCO WS C-1 ADIT EOY'!N204</f>
        <v>-16229.210000000036</v>
      </c>
      <c r="J44" s="1322"/>
    </row>
    <row r="45" spans="1:10">
      <c r="A45" s="1318">
        <f>+A44+1</f>
        <v>16</v>
      </c>
      <c r="B45" s="1332">
        <v>190.1</v>
      </c>
      <c r="C45" s="892" t="str">
        <f>+C20</f>
        <v>2023 Year End Tax Deferrals - WS C-2</v>
      </c>
      <c r="D45" s="1321">
        <f>+'SWEPCO WS C-2 ADIT BOY'!H206</f>
        <v>206830804.90000001</v>
      </c>
      <c r="E45" s="1321">
        <f>+'SWEPCO WS C-2 ADIT BOY'!J206</f>
        <v>-120718485.77929997</v>
      </c>
      <c r="F45" s="1321">
        <f>+'SWEPCO WS C-2 ADIT BOY'!K206</f>
        <v>0</v>
      </c>
      <c r="G45" s="1321">
        <f>+'SWEPCO WS C-2 ADIT BOY'!L206</f>
        <v>327427616.48929995</v>
      </c>
      <c r="H45" s="1321">
        <f>+'SWEPCO WS C-2 ADIT BOY'!M206</f>
        <v>0</v>
      </c>
      <c r="I45" s="1321">
        <f>+'SWEPCO WS C-2 ADIT BOY'!N206</f>
        <v>121674.19</v>
      </c>
      <c r="J45" s="1318"/>
    </row>
    <row r="46" spans="1:10" ht="13">
      <c r="B46" s="135" t="s">
        <v>254</v>
      </c>
      <c r="D46" s="1323"/>
      <c r="E46" s="1324"/>
      <c r="F46" s="1323"/>
      <c r="G46" s="1323" t="s">
        <v>254</v>
      </c>
      <c r="H46" s="1323"/>
      <c r="I46" s="1323"/>
    </row>
    <row r="47" spans="1:10" ht="13">
      <c r="A47" s="1318">
        <f>+A45+1</f>
        <v>17</v>
      </c>
      <c r="C47" s="24" t="s">
        <v>78</v>
      </c>
      <c r="D47" s="1321">
        <f t="shared" ref="D47:I47" si="5">D44+D45</f>
        <v>335214120.44999999</v>
      </c>
      <c r="E47" s="1321">
        <f t="shared" si="5"/>
        <v>-358674720.96039999</v>
      </c>
      <c r="F47" s="1321">
        <f t="shared" si="5"/>
        <v>0</v>
      </c>
      <c r="G47" s="1321">
        <f t="shared" si="5"/>
        <v>693783396.43039989</v>
      </c>
      <c r="H47" s="1321">
        <f t="shared" si="5"/>
        <v>0</v>
      </c>
      <c r="I47" s="1321">
        <f t="shared" si="5"/>
        <v>105444.97999999997</v>
      </c>
      <c r="J47" s="1325"/>
    </row>
    <row r="48" spans="1:10" ht="13">
      <c r="A48" s="1318">
        <f>+A47+1</f>
        <v>18</v>
      </c>
      <c r="C48" s="24" t="s">
        <v>641</v>
      </c>
      <c r="D48" s="892">
        <f t="shared" ref="D48:I48" si="6">D47/2</f>
        <v>167607060.22499999</v>
      </c>
      <c r="E48" s="1326">
        <f t="shared" si="6"/>
        <v>-179337360.48019999</v>
      </c>
      <c r="F48" s="892">
        <f t="shared" si="6"/>
        <v>0</v>
      </c>
      <c r="G48" s="892">
        <f t="shared" si="6"/>
        <v>346891698.21519995</v>
      </c>
      <c r="H48" s="892">
        <f t="shared" si="6"/>
        <v>0</v>
      </c>
      <c r="I48" s="892">
        <f t="shared" si="6"/>
        <v>52722.489999999983</v>
      </c>
      <c r="J48" s="1325"/>
    </row>
    <row r="49" spans="1:10" ht="13">
      <c r="A49" s="1318">
        <f>+A48+1</f>
        <v>19</v>
      </c>
      <c r="C49" s="1328" t="str">
        <f>"Proration Adjustment - WS C-3, Ln "&amp;'SWEPCO WS C-3 ADIT Proration'!A60</f>
        <v>Proration Adjustment - WS C-3, Ln 38</v>
      </c>
      <c r="D49" s="1326"/>
      <c r="E49" s="1326"/>
      <c r="F49" s="1326">
        <f>+'SWEPCO WS C-3 ADIT Proration'!I60</f>
        <v>0</v>
      </c>
      <c r="G49" s="1326"/>
      <c r="H49" s="892"/>
      <c r="I49" s="1329"/>
      <c r="J49" s="1325"/>
    </row>
    <row r="50" spans="1:10" ht="13">
      <c r="A50" s="1318">
        <f>+A49+1</f>
        <v>20</v>
      </c>
      <c r="C50" s="24" t="s">
        <v>526</v>
      </c>
      <c r="D50" s="1330">
        <f t="shared" ref="D50:I50" si="7">+D48+D49</f>
        <v>167607060.22499999</v>
      </c>
      <c r="E50" s="1330">
        <f t="shared" si="7"/>
        <v>-179337360.48019999</v>
      </c>
      <c r="F50" s="1330">
        <f t="shared" si="7"/>
        <v>0</v>
      </c>
      <c r="G50" s="1330">
        <f t="shared" si="7"/>
        <v>346891698.21519995</v>
      </c>
      <c r="H50" s="1330">
        <f t="shared" si="7"/>
        <v>0</v>
      </c>
      <c r="I50" s="1330">
        <f t="shared" si="7"/>
        <v>52722.489999999983</v>
      </c>
      <c r="J50" s="1325"/>
    </row>
    <row r="51" spans="1:10" ht="12.75" customHeight="1">
      <c r="A51" s="1318">
        <f>+A50+1</f>
        <v>21</v>
      </c>
      <c r="B51" s="136"/>
      <c r="C51" s="134" t="s">
        <v>642</v>
      </c>
      <c r="D51" s="1331"/>
      <c r="E51" s="765">
        <v>0</v>
      </c>
      <c r="F51" s="765">
        <v>1</v>
      </c>
      <c r="G51" s="765">
        <f>G37</f>
        <v>0.24070348547144088</v>
      </c>
      <c r="H51" s="765">
        <f>H37</f>
        <v>0.48244732979204469</v>
      </c>
      <c r="I51" s="765">
        <f>I37</f>
        <v>0.11769464301813617</v>
      </c>
    </row>
    <row r="52" spans="1:10" ht="13">
      <c r="A52" s="1318">
        <f>+A51+1</f>
        <v>22</v>
      </c>
      <c r="C52" s="24" t="s">
        <v>79</v>
      </c>
      <c r="E52" s="1325">
        <f>E51*E50</f>
        <v>0</v>
      </c>
      <c r="F52" s="1325">
        <f>F51*F50</f>
        <v>0</v>
      </c>
      <c r="G52" s="1325">
        <f>G51*G50</f>
        <v>83498040.84150584</v>
      </c>
      <c r="H52" s="1325">
        <f>H51*H50</f>
        <v>0</v>
      </c>
      <c r="I52" s="1325">
        <f>I51*I50</f>
        <v>6205.1546395772521</v>
      </c>
      <c r="J52" s="766">
        <f>SUM(F52:I52)</f>
        <v>83504245.996145412</v>
      </c>
    </row>
    <row r="53" spans="1:10" ht="13">
      <c r="I53" s="767"/>
    </row>
    <row r="54" spans="1:10" ht="13">
      <c r="E54" s="138"/>
      <c r="G54" s="2287" t="s">
        <v>71</v>
      </c>
      <c r="I54" s="767"/>
      <c r="J54" s="1325" t="s">
        <v>254</v>
      </c>
    </row>
    <row r="55" spans="1:10" ht="15.5">
      <c r="C55" s="142" t="s">
        <v>81</v>
      </c>
      <c r="D55"/>
      <c r="E55" s="138"/>
      <c r="G55" s="2406"/>
    </row>
    <row r="56" spans="1:10" ht="6.75" customHeight="1">
      <c r="C56" s="29"/>
      <c r="E56" s="138"/>
      <c r="G56" s="2406"/>
    </row>
    <row r="57" spans="1:10" ht="15.5">
      <c r="C57" s="144"/>
      <c r="G57" s="2406"/>
    </row>
    <row r="58" spans="1:10">
      <c r="A58" s="1318">
        <f>+A52+1</f>
        <v>23</v>
      </c>
      <c r="B58" s="1333">
        <v>255</v>
      </c>
      <c r="C58" s="1334" t="str">
        <f>"Acc Defrd ITC - Federal - 12/31/"&amp;'SWEPCO TCOS'!N2&amp;" (FF1 p. 267, Ln 2.h)"</f>
        <v>Acc Defrd ITC - Federal - 12/31/2024 (FF1 p. 267, Ln 2.h)</v>
      </c>
      <c r="D58" s="1335">
        <v>0</v>
      </c>
      <c r="E58" s="1321"/>
      <c r="F58" s="1321"/>
      <c r="G58" s="1321">
        <v>0</v>
      </c>
      <c r="H58" s="1321"/>
      <c r="I58" s="1321"/>
      <c r="J58" s="1322"/>
    </row>
    <row r="59" spans="1:10">
      <c r="A59" s="1318">
        <f>+A58+1</f>
        <v>24</v>
      </c>
      <c r="B59" s="1333">
        <v>255</v>
      </c>
      <c r="C59" s="1334" t="str">
        <f>"Acc Defrd ITC - Federal - 12/31/"&amp;'SWEPCO TCOS'!N2-1&amp;" (FF1 p. 266, Ln 2.b)"</f>
        <v>Acc Defrd ITC - Federal - 12/31/2023 (FF1 p. 266, Ln 2.b)</v>
      </c>
      <c r="D59" s="1335">
        <v>0</v>
      </c>
      <c r="E59" s="1321"/>
      <c r="F59" s="1321"/>
      <c r="G59" s="1321">
        <f>D59</f>
        <v>0</v>
      </c>
      <c r="H59" s="1321"/>
      <c r="I59" s="1321"/>
      <c r="J59" s="1318"/>
    </row>
    <row r="60" spans="1:10" ht="13">
      <c r="B60" s="135" t="s">
        <v>254</v>
      </c>
      <c r="D60" s="1323"/>
      <c r="E60" s="1323"/>
      <c r="F60" s="1323"/>
      <c r="G60" s="1323" t="s">
        <v>254</v>
      </c>
      <c r="H60" s="1323"/>
      <c r="I60" s="1323"/>
    </row>
    <row r="61" spans="1:10" ht="13">
      <c r="A61" s="1318">
        <f>+A59+1</f>
        <v>25</v>
      </c>
      <c r="C61" s="24" t="s">
        <v>78</v>
      </c>
      <c r="D61" s="1321">
        <f>D58+D59</f>
        <v>0</v>
      </c>
      <c r="E61" s="1321"/>
      <c r="F61" s="1321"/>
      <c r="G61" s="1321">
        <f>G58+G59</f>
        <v>0</v>
      </c>
      <c r="H61" s="1321"/>
      <c r="I61" s="1321"/>
      <c r="J61" s="1325"/>
    </row>
    <row r="62" spans="1:10" ht="13">
      <c r="A62" s="1318">
        <f>+A61+1</f>
        <v>26</v>
      </c>
      <c r="C62" s="24" t="s">
        <v>352</v>
      </c>
      <c r="D62" s="1326">
        <f>D61/2</f>
        <v>0</v>
      </c>
      <c r="E62" s="1326"/>
      <c r="F62" s="1326"/>
      <c r="G62" s="1326">
        <f>G61/2</f>
        <v>0</v>
      </c>
      <c r="H62" s="892"/>
      <c r="I62" s="892"/>
      <c r="J62" s="1325"/>
    </row>
    <row r="63" spans="1:10" ht="12.75" customHeight="1">
      <c r="A63" s="1318">
        <f>+A62+1</f>
        <v>27</v>
      </c>
      <c r="B63" s="136"/>
      <c r="C63" s="134" t="s">
        <v>642</v>
      </c>
      <c r="D63" s="1331"/>
      <c r="E63" s="769"/>
      <c r="F63" s="769"/>
      <c r="G63" s="765">
        <f>G51</f>
        <v>0.24070348547144088</v>
      </c>
      <c r="H63" s="769"/>
      <c r="I63" s="769"/>
    </row>
    <row r="64" spans="1:10" ht="13">
      <c r="A64" s="1318">
        <f>+A63+1</f>
        <v>28</v>
      </c>
      <c r="C64" s="24" t="s">
        <v>79</v>
      </c>
      <c r="E64" s="769" t="s">
        <v>16</v>
      </c>
      <c r="F64" s="769" t="s">
        <v>16</v>
      </c>
      <c r="G64" s="1325">
        <f>G63*G62</f>
        <v>0</v>
      </c>
      <c r="H64" s="769" t="s">
        <v>16</v>
      </c>
      <c r="I64" s="769" t="s">
        <v>16</v>
      </c>
      <c r="J64" s="766">
        <f>SUM(F64:I64)</f>
        <v>0</v>
      </c>
    </row>
    <row r="65" spans="2:10" ht="12.75" customHeight="1">
      <c r="C65" s="29"/>
      <c r="E65" s="138"/>
      <c r="G65" s="138"/>
    </row>
    <row r="66" spans="2:10" ht="12.75" customHeight="1">
      <c r="C66" s="29"/>
      <c r="E66" s="138"/>
      <c r="G66" s="138"/>
    </row>
    <row r="67" spans="2:10" ht="12.75" customHeight="1">
      <c r="B67" s="354" t="s">
        <v>82</v>
      </c>
      <c r="C67" s="286" t="s">
        <v>83</v>
      </c>
      <c r="D67" s="286"/>
      <c r="E67" s="286"/>
      <c r="F67" s="286"/>
      <c r="G67" s="286"/>
      <c r="H67" s="286"/>
      <c r="I67" s="286"/>
      <c r="J67" s="286"/>
    </row>
    <row r="68" spans="2:10" ht="12.75" customHeight="1">
      <c r="B68" s="354"/>
      <c r="C68" s="286"/>
      <c r="D68" s="286"/>
      <c r="E68" s="286"/>
      <c r="F68" s="286"/>
      <c r="G68" s="286"/>
      <c r="H68" s="286"/>
      <c r="I68" s="286"/>
      <c r="J68" s="286"/>
    </row>
    <row r="69" spans="2:10" ht="12.75" customHeight="1">
      <c r="B69" s="354"/>
      <c r="C69" s="286"/>
      <c r="D69" s="286"/>
      <c r="E69" s="286"/>
      <c r="F69" s="286"/>
      <c r="G69" s="286"/>
      <c r="H69" s="286"/>
      <c r="I69" s="286"/>
      <c r="J69" s="286"/>
    </row>
    <row r="70" spans="2:10" ht="12.75" customHeight="1">
      <c r="B70" s="354"/>
      <c r="C70" s="286"/>
      <c r="D70" s="286"/>
      <c r="E70" s="286"/>
      <c r="F70" s="286"/>
      <c r="G70" s="286"/>
      <c r="H70" s="286"/>
      <c r="I70" s="286"/>
      <c r="J70" s="286"/>
    </row>
    <row r="71" spans="2:10" ht="12.75" customHeight="1">
      <c r="B71" s="354"/>
      <c r="C71" s="286"/>
      <c r="D71" s="286"/>
      <c r="E71" s="286"/>
      <c r="F71" s="286"/>
      <c r="G71" s="286"/>
      <c r="H71" s="286"/>
      <c r="I71" s="286"/>
      <c r="J71" s="286"/>
    </row>
    <row r="72" spans="2:10">
      <c r="B72" s="354"/>
      <c r="C72" s="286"/>
      <c r="D72" s="286"/>
      <c r="E72" s="286"/>
      <c r="F72" s="286"/>
      <c r="G72" s="286"/>
      <c r="H72" s="286"/>
      <c r="I72" s="286"/>
      <c r="J72" s="286"/>
    </row>
    <row r="73" spans="2:10">
      <c r="B73" s="354"/>
      <c r="C73" s="286"/>
      <c r="D73" s="286"/>
      <c r="E73" s="286"/>
      <c r="F73" s="286"/>
      <c r="G73" s="286"/>
      <c r="H73" s="286"/>
      <c r="I73" s="286"/>
      <c r="J73" s="286"/>
    </row>
    <row r="74" spans="2:10">
      <c r="B74" s="354"/>
      <c r="C74" s="286"/>
      <c r="D74" s="286"/>
      <c r="E74" s="286"/>
      <c r="F74" s="286"/>
      <c r="G74" s="286"/>
      <c r="H74" s="286"/>
      <c r="I74" s="286"/>
      <c r="J74" s="286"/>
    </row>
    <row r="75" spans="2:10">
      <c r="B75" s="354"/>
      <c r="C75" s="286"/>
      <c r="D75" s="286"/>
      <c r="E75" s="286"/>
      <c r="F75" s="286"/>
      <c r="G75" s="286"/>
      <c r="H75" s="286"/>
      <c r="I75" s="286"/>
      <c r="J75" s="286"/>
    </row>
    <row r="76" spans="2:10">
      <c r="B76" s="354"/>
      <c r="C76" s="286"/>
      <c r="D76" s="286"/>
      <c r="E76" s="286"/>
      <c r="F76" s="286"/>
      <c r="G76" s="286"/>
      <c r="H76" s="286"/>
      <c r="I76" s="286"/>
      <c r="J76" s="286" t="s">
        <v>254</v>
      </c>
    </row>
    <row r="77" spans="2:10">
      <c r="B77" s="354"/>
      <c r="C77" s="286"/>
      <c r="D77" s="286"/>
      <c r="E77" s="286"/>
      <c r="F77" s="286"/>
      <c r="G77" s="286"/>
      <c r="H77" s="286"/>
      <c r="I77" s="286"/>
      <c r="J77" s="286"/>
    </row>
    <row r="78" spans="2:10">
      <c r="B78" s="354"/>
      <c r="C78" s="286"/>
      <c r="D78" s="286"/>
      <c r="E78" s="286"/>
      <c r="F78" s="286"/>
      <c r="G78" s="286"/>
      <c r="H78" s="286"/>
      <c r="I78" s="286"/>
      <c r="J78" s="286"/>
    </row>
    <row r="79" spans="2:10">
      <c r="B79" s="354"/>
      <c r="C79" s="286"/>
      <c r="D79" s="286"/>
      <c r="E79" s="286"/>
      <c r="F79" s="286"/>
      <c r="G79" s="286"/>
      <c r="H79" s="286"/>
      <c r="I79" s="286"/>
      <c r="J79" s="286"/>
    </row>
    <row r="80" spans="2:10">
      <c r="B80" s="354"/>
      <c r="C80" s="286"/>
      <c r="D80" s="286"/>
      <c r="E80" s="286"/>
      <c r="F80" s="286"/>
      <c r="G80" s="286"/>
      <c r="H80" s="286"/>
      <c r="I80" s="286"/>
      <c r="J80" s="286"/>
    </row>
    <row r="81" spans="2:11">
      <c r="B81" s="354"/>
      <c r="C81" s="286"/>
      <c r="D81" s="286"/>
      <c r="E81" s="286"/>
      <c r="F81" s="286"/>
      <c r="G81" s="286"/>
      <c r="H81" s="286"/>
      <c r="I81" s="286"/>
      <c r="J81" s="286"/>
    </row>
    <row r="82" spans="2:11">
      <c r="B82" s="354"/>
      <c r="C82" s="286"/>
      <c r="D82" s="286"/>
      <c r="E82" s="286"/>
      <c r="F82" s="286"/>
      <c r="G82" s="286"/>
      <c r="H82" s="286"/>
      <c r="I82" s="286"/>
      <c r="J82" s="286"/>
    </row>
    <row r="83" spans="2:11">
      <c r="B83" s="354"/>
      <c r="C83" s="286"/>
      <c r="D83" s="286"/>
      <c r="E83" s="286"/>
      <c r="F83" s="286"/>
      <c r="G83" s="286"/>
      <c r="H83" s="286"/>
      <c r="I83" s="286"/>
      <c r="J83" s="286"/>
    </row>
    <row r="84" spans="2:11">
      <c r="B84" s="354"/>
      <c r="C84" s="286"/>
      <c r="D84" s="286"/>
      <c r="E84" s="286"/>
      <c r="F84" s="286"/>
      <c r="G84" s="286"/>
      <c r="H84" s="286"/>
      <c r="I84" s="286"/>
      <c r="J84" s="286"/>
      <c r="K84" s="286"/>
    </row>
    <row r="85" spans="2:11">
      <c r="B85" s="354"/>
      <c r="C85" s="286"/>
      <c r="D85" s="286"/>
      <c r="E85" s="286"/>
      <c r="F85" s="286"/>
      <c r="G85" s="286"/>
      <c r="H85" s="286"/>
      <c r="I85" s="286"/>
      <c r="J85" s="286"/>
      <c r="K85" s="286"/>
    </row>
    <row r="86" spans="2:11">
      <c r="B86" s="354"/>
      <c r="C86" s="286"/>
      <c r="D86" s="286"/>
      <c r="E86" s="286"/>
      <c r="F86" s="286"/>
      <c r="G86" s="286"/>
      <c r="H86" s="286"/>
      <c r="I86" s="286"/>
      <c r="J86" s="286"/>
      <c r="K86" s="286"/>
    </row>
    <row r="87" spans="2:11">
      <c r="B87" s="354"/>
      <c r="C87" s="286"/>
      <c r="D87" s="286"/>
      <c r="E87" s="286"/>
      <c r="F87" s="286"/>
      <c r="G87" s="286"/>
      <c r="H87" s="286"/>
      <c r="I87" s="286"/>
      <c r="J87" s="286"/>
      <c r="K87" s="286"/>
    </row>
    <row r="88" spans="2:11">
      <c r="B88" s="354"/>
      <c r="C88" s="286"/>
      <c r="D88" s="286"/>
      <c r="E88" s="286"/>
      <c r="F88" s="286"/>
      <c r="G88" s="286"/>
      <c r="H88" s="286"/>
      <c r="I88" s="286"/>
      <c r="J88" s="286"/>
      <c r="K88" s="286"/>
    </row>
    <row r="89" spans="2:11">
      <c r="B89" s="354"/>
      <c r="C89" s="286"/>
      <c r="D89" s="286"/>
      <c r="E89" s="286"/>
      <c r="F89" s="286"/>
      <c r="G89" s="286"/>
      <c r="H89" s="286"/>
      <c r="I89" s="286"/>
      <c r="J89" s="286"/>
      <c r="K89" s="286"/>
    </row>
    <row r="90" spans="2:11">
      <c r="B90" s="354"/>
      <c r="C90" s="286"/>
      <c r="D90" s="286"/>
      <c r="E90" s="286"/>
      <c r="F90" s="286"/>
      <c r="G90" s="286"/>
      <c r="H90" s="286"/>
      <c r="I90" s="286"/>
      <c r="J90" s="286"/>
      <c r="K90" s="286"/>
    </row>
    <row r="91" spans="2:11">
      <c r="B91" s="354"/>
      <c r="C91" s="286"/>
      <c r="D91" s="286"/>
      <c r="E91" s="286"/>
      <c r="F91" s="286"/>
      <c r="G91" s="286"/>
      <c r="H91" s="286"/>
      <c r="I91" s="286"/>
      <c r="J91" s="286"/>
      <c r="K91" s="286"/>
    </row>
    <row r="92" spans="2:11">
      <c r="B92" s="354"/>
      <c r="C92" s="286"/>
      <c r="D92" s="286"/>
      <c r="E92" s="286"/>
      <c r="F92" s="286"/>
      <c r="G92" s="286"/>
      <c r="H92" s="286"/>
      <c r="I92" s="286"/>
      <c r="J92" s="286"/>
      <c r="K92" s="286"/>
    </row>
    <row r="93" spans="2:11">
      <c r="B93" s="354"/>
      <c r="C93" s="286"/>
      <c r="D93" s="286"/>
      <c r="E93" s="286"/>
      <c r="F93" s="286"/>
      <c r="G93" s="286"/>
      <c r="H93" s="286"/>
      <c r="I93" s="286"/>
      <c r="J93" s="286"/>
      <c r="K93" s="286"/>
    </row>
    <row r="94" spans="2:11">
      <c r="B94" s="354"/>
      <c r="C94" s="286"/>
      <c r="D94" s="286"/>
      <c r="E94" s="286"/>
      <c r="F94" s="286"/>
      <c r="G94" s="286"/>
      <c r="H94" s="286"/>
      <c r="I94" s="286"/>
      <c r="J94" s="286"/>
      <c r="K94" s="286"/>
    </row>
    <row r="95" spans="2:11">
      <c r="B95" s="354"/>
      <c r="C95" s="286"/>
      <c r="D95" s="286"/>
      <c r="E95" s="286"/>
      <c r="F95" s="286"/>
      <c r="G95" s="286"/>
      <c r="H95" s="286"/>
      <c r="I95" s="286"/>
      <c r="J95" s="286"/>
      <c r="K95" s="286"/>
    </row>
    <row r="96" spans="2:11">
      <c r="B96" s="354"/>
      <c r="C96" s="286"/>
      <c r="D96" s="286"/>
      <c r="E96" s="286"/>
      <c r="F96" s="286"/>
      <c r="G96" s="286"/>
      <c r="H96" s="286"/>
      <c r="I96" s="286"/>
      <c r="J96" s="286"/>
      <c r="K96" s="286"/>
    </row>
    <row r="97" spans="2:11">
      <c r="B97" s="354"/>
      <c r="C97" s="286"/>
      <c r="D97" s="286"/>
      <c r="E97" s="286"/>
      <c r="F97" s="286"/>
      <c r="G97" s="286"/>
      <c r="H97" s="286"/>
      <c r="I97" s="286"/>
      <c r="J97" s="286"/>
      <c r="K97" s="286"/>
    </row>
    <row r="98" spans="2:11">
      <c r="B98" s="354"/>
      <c r="C98" s="286"/>
      <c r="D98" s="286"/>
      <c r="E98" s="286"/>
      <c r="F98" s="286"/>
      <c r="G98" s="286"/>
      <c r="H98" s="286"/>
      <c r="I98" s="286"/>
      <c r="J98" s="286"/>
      <c r="K98" s="286"/>
    </row>
    <row r="99" spans="2:11">
      <c r="B99" s="354"/>
      <c r="C99" s="286"/>
      <c r="D99" s="286"/>
      <c r="E99" s="286"/>
      <c r="F99" s="286"/>
      <c r="G99" s="286"/>
      <c r="H99" s="286"/>
      <c r="I99" s="286"/>
      <c r="J99" s="286"/>
      <c r="K99" s="286"/>
    </row>
    <row r="100" spans="2:11">
      <c r="B100" s="354"/>
      <c r="C100" s="286"/>
      <c r="D100" s="286"/>
      <c r="E100" s="286"/>
      <c r="F100" s="286"/>
      <c r="G100" s="286"/>
      <c r="H100" s="286"/>
      <c r="I100" s="286"/>
      <c r="J100" s="286"/>
      <c r="K100" s="286"/>
    </row>
    <row r="101" spans="2:11">
      <c r="B101" s="354"/>
      <c r="C101" s="286"/>
      <c r="D101" s="286"/>
      <c r="E101" s="286"/>
      <c r="F101" s="286"/>
      <c r="G101" s="286"/>
      <c r="H101" s="286"/>
      <c r="I101" s="286"/>
      <c r="J101" s="286"/>
      <c r="K101" s="286"/>
    </row>
    <row r="102" spans="2:11">
      <c r="B102" s="354"/>
      <c r="C102" s="286"/>
      <c r="D102" s="286"/>
      <c r="E102" s="286"/>
      <c r="F102" s="286"/>
      <c r="G102" s="286"/>
      <c r="H102" s="286"/>
      <c r="I102" s="286"/>
      <c r="J102" s="286"/>
      <c r="K102" s="286"/>
    </row>
    <row r="103" spans="2:11">
      <c r="B103" s="354"/>
      <c r="C103" s="286"/>
      <c r="D103" s="286"/>
      <c r="E103" s="286"/>
      <c r="F103" s="286"/>
      <c r="G103" s="286"/>
      <c r="H103" s="286"/>
      <c r="I103" s="286"/>
      <c r="J103" s="286"/>
      <c r="K103" s="286"/>
    </row>
    <row r="104" spans="2:11">
      <c r="B104" s="354"/>
      <c r="C104" s="286"/>
      <c r="D104" s="286"/>
      <c r="E104" s="286"/>
      <c r="F104" s="286"/>
      <c r="G104" s="286"/>
      <c r="H104" s="286"/>
      <c r="I104" s="286"/>
      <c r="J104" s="286"/>
      <c r="K104" s="286"/>
    </row>
    <row r="105" spans="2:11">
      <c r="B105" s="354"/>
      <c r="C105" s="286"/>
      <c r="D105" s="286"/>
      <c r="E105" s="286"/>
      <c r="F105" s="286"/>
      <c r="G105" s="286"/>
      <c r="H105" s="286"/>
      <c r="I105" s="286"/>
      <c r="J105" s="286"/>
      <c r="K105" s="286"/>
    </row>
    <row r="106" spans="2:11">
      <c r="B106" s="354"/>
      <c r="C106" s="286"/>
      <c r="D106" s="286"/>
      <c r="E106" s="286"/>
      <c r="F106" s="286"/>
      <c r="G106" s="286"/>
      <c r="H106" s="286"/>
      <c r="I106" s="286"/>
      <c r="J106" s="286"/>
      <c r="K106" s="286"/>
    </row>
    <row r="107" spans="2:11">
      <c r="B107" s="354"/>
      <c r="C107" s="286"/>
      <c r="D107" s="286"/>
      <c r="E107" s="286"/>
      <c r="F107" s="286"/>
      <c r="G107" s="286"/>
      <c r="H107" s="286"/>
      <c r="I107" s="286"/>
      <c r="J107" s="286"/>
      <c r="K107" s="286"/>
    </row>
    <row r="108" spans="2:11">
      <c r="B108" s="354"/>
      <c r="C108" s="286"/>
      <c r="D108" s="286"/>
      <c r="E108" s="286"/>
      <c r="F108" s="286"/>
      <c r="G108" s="286"/>
      <c r="H108" s="286"/>
      <c r="I108" s="286"/>
      <c r="J108" s="286"/>
      <c r="K108" s="286"/>
    </row>
    <row r="109" spans="2:11">
      <c r="B109" s="354"/>
      <c r="C109" s="286"/>
      <c r="D109" s="286"/>
      <c r="E109" s="286"/>
      <c r="F109" s="286"/>
      <c r="G109" s="286"/>
      <c r="H109" s="286"/>
      <c r="I109" s="286"/>
      <c r="J109" s="286"/>
      <c r="K109" s="286"/>
    </row>
    <row r="110" spans="2:11">
      <c r="B110" s="354"/>
      <c r="C110" s="286"/>
      <c r="D110" s="286"/>
      <c r="E110" s="286"/>
      <c r="F110" s="286"/>
      <c r="G110" s="286"/>
      <c r="H110" s="286"/>
      <c r="I110" s="286"/>
      <c r="J110" s="286"/>
      <c r="K110" s="286"/>
    </row>
    <row r="111" spans="2:11">
      <c r="B111" s="354"/>
      <c r="C111" s="286"/>
      <c r="D111" s="286"/>
      <c r="E111" s="286"/>
      <c r="F111" s="286"/>
      <c r="G111" s="286"/>
      <c r="H111" s="286"/>
      <c r="I111" s="286"/>
      <c r="J111" s="286"/>
      <c r="K111" s="286"/>
    </row>
    <row r="112" spans="2:11">
      <c r="B112" s="354"/>
      <c r="C112" s="286"/>
      <c r="D112" s="286"/>
      <c r="E112" s="286"/>
      <c r="F112" s="286"/>
      <c r="G112" s="286"/>
      <c r="H112" s="286"/>
      <c r="I112" s="286"/>
      <c r="J112" s="286"/>
      <c r="K112" s="286"/>
    </row>
    <row r="113" spans="2:11">
      <c r="B113" s="354"/>
      <c r="C113" s="286"/>
      <c r="D113" s="286"/>
      <c r="E113" s="286"/>
      <c r="F113" s="286"/>
      <c r="G113" s="286"/>
      <c r="H113" s="286"/>
      <c r="I113" s="286"/>
      <c r="J113" s="286"/>
      <c r="K113" s="286"/>
    </row>
    <row r="114" spans="2:11">
      <c r="B114" s="354"/>
      <c r="C114" s="286"/>
      <c r="D114" s="286"/>
      <c r="E114" s="286"/>
      <c r="F114" s="286"/>
      <c r="G114" s="286"/>
      <c r="H114" s="286"/>
      <c r="I114" s="286"/>
      <c r="J114" s="286"/>
      <c r="K114" s="286"/>
    </row>
    <row r="115" spans="2:11">
      <c r="B115" s="354"/>
      <c r="C115" s="286"/>
      <c r="D115" s="286"/>
      <c r="E115" s="286"/>
      <c r="F115" s="286"/>
      <c r="G115" s="286"/>
      <c r="H115" s="286"/>
      <c r="I115" s="286"/>
      <c r="J115" s="286"/>
      <c r="K115" s="286"/>
    </row>
    <row r="116" spans="2:11">
      <c r="B116" s="354"/>
      <c r="C116" s="286"/>
      <c r="D116" s="286"/>
      <c r="E116" s="286"/>
      <c r="F116" s="286"/>
      <c r="G116" s="286"/>
      <c r="H116" s="286"/>
      <c r="I116" s="286"/>
      <c r="J116" s="286"/>
      <c r="K116" s="286"/>
    </row>
    <row r="117" spans="2:11">
      <c r="B117" s="354"/>
      <c r="C117" s="286"/>
      <c r="D117" s="286"/>
      <c r="E117" s="286"/>
      <c r="F117" s="286"/>
      <c r="G117" s="286"/>
      <c r="H117" s="286"/>
      <c r="I117" s="286"/>
      <c r="J117" s="286"/>
      <c r="K117" s="286"/>
    </row>
    <row r="118" spans="2:11">
      <c r="B118" s="354"/>
      <c r="C118" s="286"/>
      <c r="D118" s="286"/>
      <c r="E118" s="286"/>
      <c r="F118" s="286"/>
      <c r="G118" s="286"/>
      <c r="H118" s="286"/>
      <c r="I118" s="286"/>
      <c r="J118" s="286"/>
      <c r="K118" s="286"/>
    </row>
    <row r="119" spans="2:11">
      <c r="B119" s="354"/>
      <c r="C119" s="286"/>
      <c r="D119" s="286"/>
      <c r="E119" s="286"/>
      <c r="F119" s="286"/>
      <c r="G119" s="286"/>
      <c r="H119" s="286"/>
      <c r="I119" s="286"/>
      <c r="J119" s="286"/>
      <c r="K119" s="286"/>
    </row>
    <row r="120" spans="2:11">
      <c r="B120" s="354"/>
      <c r="C120" s="286"/>
      <c r="D120" s="286"/>
      <c r="E120" s="286"/>
      <c r="F120" s="286"/>
      <c r="G120" s="286"/>
      <c r="H120" s="286"/>
      <c r="I120" s="286"/>
      <c r="J120" s="286"/>
      <c r="K120" s="286"/>
    </row>
    <row r="121" spans="2:11">
      <c r="B121" s="354"/>
      <c r="C121" s="286"/>
      <c r="D121" s="286"/>
      <c r="E121" s="286"/>
      <c r="F121" s="286"/>
      <c r="G121" s="286"/>
      <c r="H121" s="286"/>
      <c r="I121" s="286"/>
      <c r="J121" s="286"/>
      <c r="K121" s="286"/>
    </row>
    <row r="122" spans="2:11">
      <c r="B122" s="354"/>
      <c r="C122" s="286"/>
      <c r="D122" s="286"/>
      <c r="E122" s="286"/>
      <c r="F122" s="286"/>
      <c r="G122" s="286"/>
      <c r="H122" s="286"/>
      <c r="I122" s="286"/>
      <c r="J122" s="286"/>
      <c r="K122" s="286"/>
    </row>
    <row r="123" spans="2:11">
      <c r="B123" s="354"/>
      <c r="C123" s="286"/>
      <c r="D123" s="286"/>
      <c r="E123" s="286"/>
      <c r="F123" s="286"/>
      <c r="G123" s="286"/>
      <c r="H123" s="286"/>
      <c r="I123" s="286"/>
      <c r="J123" s="286"/>
      <c r="K123" s="286"/>
    </row>
    <row r="124" spans="2:11">
      <c r="B124" s="354"/>
      <c r="C124" s="286"/>
      <c r="D124" s="286"/>
      <c r="E124" s="286"/>
      <c r="F124" s="286"/>
      <c r="G124" s="286"/>
      <c r="H124" s="286"/>
      <c r="I124" s="286"/>
      <c r="J124" s="286"/>
      <c r="K124" s="286"/>
    </row>
    <row r="125" spans="2:11">
      <c r="B125" s="354"/>
      <c r="C125" s="286"/>
      <c r="D125" s="286"/>
      <c r="E125" s="286"/>
      <c r="F125" s="286"/>
      <c r="G125" s="286"/>
      <c r="H125" s="286"/>
      <c r="I125" s="286"/>
      <c r="J125" s="286"/>
      <c r="K125" s="286"/>
    </row>
    <row r="126" spans="2:11">
      <c r="B126" s="354"/>
      <c r="C126" s="286"/>
      <c r="D126" s="286"/>
      <c r="E126" s="286"/>
      <c r="F126" s="286"/>
      <c r="G126" s="286"/>
      <c r="H126" s="286"/>
      <c r="I126" s="286"/>
      <c r="J126" s="286"/>
      <c r="K126" s="286"/>
    </row>
    <row r="127" spans="2:11">
      <c r="B127" s="354"/>
      <c r="C127" s="286"/>
      <c r="D127" s="286"/>
      <c r="E127" s="286"/>
      <c r="F127" s="286"/>
      <c r="G127" s="286"/>
      <c r="H127" s="286"/>
      <c r="I127" s="286"/>
      <c r="J127" s="286"/>
      <c r="K127" s="286"/>
    </row>
    <row r="128" spans="2:11">
      <c r="B128" s="354"/>
      <c r="C128" s="286"/>
      <c r="D128" s="286"/>
      <c r="E128" s="286"/>
      <c r="F128" s="286"/>
      <c r="G128" s="286"/>
      <c r="H128" s="286"/>
      <c r="I128" s="286"/>
      <c r="J128" s="286"/>
      <c r="K128" s="286"/>
    </row>
    <row r="129" spans="2:11">
      <c r="B129" s="354"/>
      <c r="C129" s="286"/>
      <c r="D129" s="286"/>
      <c r="E129" s="286"/>
      <c r="F129" s="286"/>
      <c r="G129" s="286"/>
      <c r="H129" s="286"/>
      <c r="I129" s="286"/>
      <c r="J129" s="286"/>
      <c r="K129" s="286"/>
    </row>
    <row r="130" spans="2:11">
      <c r="B130" s="354"/>
      <c r="C130" s="286"/>
      <c r="D130" s="286"/>
      <c r="E130" s="286"/>
      <c r="F130" s="286"/>
      <c r="G130" s="286"/>
      <c r="H130" s="286"/>
      <c r="I130" s="286"/>
      <c r="J130" s="286"/>
      <c r="K130" s="286"/>
    </row>
    <row r="131" spans="2:11">
      <c r="B131" s="354"/>
      <c r="C131" s="286"/>
      <c r="D131" s="286"/>
      <c r="E131" s="286"/>
      <c r="F131" s="286"/>
      <c r="G131" s="286"/>
      <c r="H131" s="286"/>
      <c r="I131" s="286"/>
      <c r="J131" s="286"/>
      <c r="K131" s="286"/>
    </row>
    <row r="132" spans="2:11">
      <c r="B132" s="354"/>
      <c r="C132" s="286"/>
      <c r="D132" s="286"/>
      <c r="E132" s="286"/>
      <c r="F132" s="286"/>
      <c r="G132" s="286"/>
      <c r="H132" s="286"/>
      <c r="I132" s="286"/>
      <c r="J132" s="286"/>
      <c r="K132" s="286"/>
    </row>
    <row r="133" spans="2:11">
      <c r="B133" s="354"/>
      <c r="C133" s="286"/>
      <c r="D133" s="286"/>
      <c r="E133" s="286"/>
      <c r="F133" s="286"/>
      <c r="G133" s="286"/>
      <c r="H133" s="286"/>
      <c r="I133" s="286"/>
      <c r="J133" s="286"/>
      <c r="K133" s="286"/>
    </row>
    <row r="134" spans="2:11">
      <c r="B134" s="354"/>
      <c r="C134" s="286"/>
      <c r="D134" s="286"/>
      <c r="E134" s="286"/>
      <c r="F134" s="286"/>
      <c r="G134" s="286"/>
      <c r="H134" s="286"/>
      <c r="I134" s="286"/>
      <c r="J134" s="286"/>
      <c r="K134" s="286"/>
    </row>
    <row r="135" spans="2:11">
      <c r="B135" s="354"/>
      <c r="C135" s="286"/>
      <c r="D135" s="286"/>
      <c r="E135" s="286"/>
      <c r="F135" s="286"/>
      <c r="G135" s="286"/>
      <c r="H135" s="286"/>
      <c r="I135" s="286"/>
      <c r="J135" s="286"/>
      <c r="K135" s="286"/>
    </row>
    <row r="136" spans="2:11">
      <c r="B136" s="354"/>
      <c r="C136" s="286"/>
      <c r="D136" s="286"/>
      <c r="E136" s="286"/>
      <c r="F136" s="286"/>
      <c r="G136" s="286"/>
      <c r="H136" s="286"/>
      <c r="I136" s="286"/>
      <c r="J136" s="286"/>
      <c r="K136" s="286"/>
    </row>
    <row r="137" spans="2:11">
      <c r="B137" s="354"/>
      <c r="C137" s="286"/>
      <c r="D137" s="286"/>
      <c r="E137" s="286"/>
      <c r="F137" s="286"/>
      <c r="G137" s="286"/>
      <c r="H137" s="286"/>
      <c r="I137" s="286"/>
      <c r="J137" s="286"/>
      <c r="K137" s="286"/>
    </row>
    <row r="138" spans="2:11">
      <c r="B138" s="354"/>
      <c r="C138" s="286"/>
      <c r="D138" s="286"/>
      <c r="E138" s="286"/>
      <c r="F138" s="286"/>
      <c r="G138" s="286"/>
      <c r="H138" s="286"/>
      <c r="I138" s="286"/>
      <c r="J138" s="286"/>
      <c r="K138" s="286"/>
    </row>
    <row r="139" spans="2:11">
      <c r="B139" s="354"/>
      <c r="C139" s="286"/>
      <c r="D139" s="286"/>
      <c r="E139" s="286"/>
      <c r="F139" s="286"/>
      <c r="G139" s="286"/>
      <c r="H139" s="286"/>
      <c r="I139" s="286"/>
      <c r="J139" s="286"/>
      <c r="K139" s="286"/>
    </row>
    <row r="140" spans="2:11">
      <c r="B140" s="354"/>
      <c r="C140" s="286"/>
      <c r="D140" s="286"/>
      <c r="E140" s="286"/>
      <c r="F140" s="286"/>
      <c r="G140" s="286"/>
      <c r="H140" s="286"/>
      <c r="I140" s="286"/>
      <c r="J140" s="286"/>
      <c r="K140" s="286"/>
    </row>
    <row r="141" spans="2:11">
      <c r="B141" s="354"/>
      <c r="C141" s="286"/>
      <c r="D141" s="286"/>
      <c r="E141" s="286"/>
      <c r="F141" s="286"/>
      <c r="G141" s="286"/>
      <c r="H141" s="286"/>
      <c r="I141" s="286"/>
      <c r="J141" s="286"/>
      <c r="K141" s="286"/>
    </row>
    <row r="142" spans="2:11">
      <c r="B142" s="354"/>
      <c r="C142" s="286"/>
      <c r="D142" s="286"/>
      <c r="E142" s="286"/>
      <c r="F142" s="286"/>
      <c r="G142" s="286"/>
      <c r="H142" s="286"/>
      <c r="I142" s="286"/>
      <c r="J142" s="286"/>
      <c r="K142" s="286"/>
    </row>
    <row r="143" spans="2:11">
      <c r="B143" s="354"/>
      <c r="C143" s="286"/>
      <c r="D143" s="286"/>
      <c r="E143" s="286"/>
      <c r="F143" s="286"/>
      <c r="G143" s="286"/>
      <c r="H143" s="286"/>
      <c r="I143" s="286"/>
      <c r="J143" s="286"/>
      <c r="K143" s="286"/>
    </row>
    <row r="144" spans="2:11">
      <c r="B144" s="354"/>
      <c r="C144" s="286"/>
      <c r="D144" s="286"/>
      <c r="E144" s="286"/>
      <c r="F144" s="286"/>
      <c r="G144" s="286"/>
      <c r="H144" s="286"/>
      <c r="I144" s="286"/>
      <c r="J144" s="286"/>
      <c r="K144" s="286"/>
    </row>
    <row r="145" spans="2:11">
      <c r="B145" s="354"/>
      <c r="C145" s="286"/>
      <c r="D145" s="286"/>
      <c r="E145" s="286"/>
      <c r="F145" s="286"/>
      <c r="G145" s="286"/>
      <c r="H145" s="286"/>
      <c r="I145" s="286"/>
      <c r="J145" s="286"/>
      <c r="K145" s="286"/>
    </row>
    <row r="146" spans="2:11">
      <c r="B146" s="354"/>
      <c r="C146" s="286"/>
      <c r="D146" s="286"/>
      <c r="E146" s="286"/>
      <c r="F146" s="286"/>
      <c r="G146" s="286"/>
      <c r="H146" s="286"/>
      <c r="I146" s="286"/>
      <c r="J146" s="286"/>
      <c r="K146" s="286"/>
    </row>
    <row r="147" spans="2:11">
      <c r="B147" s="354"/>
      <c r="C147" s="286"/>
      <c r="D147" s="286"/>
      <c r="E147" s="286"/>
      <c r="F147" s="286"/>
      <c r="G147" s="286"/>
      <c r="H147" s="286"/>
      <c r="I147" s="286"/>
      <c r="J147" s="286"/>
      <c r="K147" s="286"/>
    </row>
    <row r="148" spans="2:11">
      <c r="B148" s="354"/>
      <c r="C148" s="286"/>
      <c r="D148" s="286"/>
      <c r="E148" s="286"/>
      <c r="F148" s="286"/>
      <c r="G148" s="286"/>
      <c r="H148" s="286"/>
      <c r="I148" s="286"/>
      <c r="J148" s="286"/>
      <c r="K148" s="286"/>
    </row>
    <row r="149" spans="2:11">
      <c r="B149" s="354"/>
      <c r="C149" s="286"/>
      <c r="D149" s="286"/>
      <c r="E149" s="286"/>
      <c r="F149" s="286"/>
      <c r="G149" s="286"/>
      <c r="H149" s="286"/>
      <c r="I149" s="286"/>
      <c r="J149" s="286"/>
      <c r="K149" s="286"/>
    </row>
    <row r="150" spans="2:11">
      <c r="B150" s="354"/>
      <c r="C150" s="286"/>
      <c r="D150" s="286"/>
      <c r="E150" s="286"/>
      <c r="F150" s="286"/>
      <c r="G150" s="286"/>
      <c r="H150" s="286"/>
      <c r="I150" s="286"/>
      <c r="J150" s="286"/>
      <c r="K150" s="286"/>
    </row>
    <row r="151" spans="2:11">
      <c r="B151" s="354"/>
      <c r="C151" s="286"/>
      <c r="D151" s="286"/>
      <c r="E151" s="286"/>
      <c r="F151" s="286"/>
      <c r="G151" s="286"/>
      <c r="H151" s="286"/>
      <c r="I151" s="286"/>
      <c r="J151" s="286"/>
      <c r="K151" s="286"/>
    </row>
    <row r="152" spans="2:11">
      <c r="B152" s="354"/>
      <c r="C152" s="286"/>
      <c r="D152" s="286"/>
      <c r="E152" s="286"/>
      <c r="F152" s="286"/>
      <c r="G152" s="286"/>
      <c r="H152" s="286"/>
      <c r="I152" s="286"/>
      <c r="J152" s="286"/>
      <c r="K152" s="286"/>
    </row>
    <row r="153" spans="2:11">
      <c r="B153" s="354"/>
      <c r="C153" s="286"/>
      <c r="D153" s="286"/>
      <c r="E153" s="286"/>
      <c r="F153" s="286"/>
      <c r="G153" s="286"/>
      <c r="H153" s="286"/>
      <c r="I153" s="286"/>
      <c r="J153" s="286"/>
      <c r="K153" s="286"/>
    </row>
    <row r="154" spans="2:11">
      <c r="B154" s="354"/>
      <c r="C154" s="286"/>
      <c r="D154" s="286"/>
      <c r="E154" s="286"/>
      <c r="F154" s="286"/>
      <c r="G154" s="286"/>
      <c r="H154" s="286"/>
      <c r="I154" s="286"/>
      <c r="J154" s="286"/>
      <c r="K154" s="286"/>
    </row>
    <row r="155" spans="2:11">
      <c r="B155" s="354"/>
      <c r="C155" s="286"/>
      <c r="D155" s="286"/>
      <c r="E155" s="286"/>
      <c r="F155" s="286"/>
      <c r="G155" s="286"/>
      <c r="H155" s="286"/>
      <c r="I155" s="286"/>
      <c r="J155" s="286"/>
      <c r="K155" s="286"/>
    </row>
    <row r="156" spans="2:11">
      <c r="B156" s="354"/>
      <c r="C156" s="286"/>
      <c r="D156" s="286"/>
      <c r="E156" s="286"/>
      <c r="F156" s="286"/>
      <c r="G156" s="286"/>
      <c r="H156" s="286"/>
      <c r="I156" s="286"/>
      <c r="J156" s="286"/>
      <c r="K156" s="286"/>
    </row>
    <row r="157" spans="2:11">
      <c r="B157" s="354"/>
      <c r="C157" s="286"/>
      <c r="D157" s="286"/>
      <c r="E157" s="286"/>
      <c r="F157" s="286"/>
      <c r="G157" s="286"/>
      <c r="H157" s="286"/>
      <c r="I157" s="286"/>
      <c r="J157" s="286"/>
      <c r="K157" s="286"/>
    </row>
    <row r="158" spans="2:11">
      <c r="B158" s="354"/>
      <c r="C158" s="286"/>
      <c r="D158" s="286"/>
      <c r="E158" s="286"/>
      <c r="F158" s="286"/>
      <c r="G158" s="286"/>
      <c r="H158" s="286"/>
      <c r="I158" s="286"/>
      <c r="J158" s="286"/>
      <c r="K158" s="286"/>
    </row>
    <row r="159" spans="2:11">
      <c r="B159" s="354"/>
      <c r="C159" s="286"/>
      <c r="D159" s="286"/>
      <c r="E159" s="286"/>
      <c r="F159" s="286"/>
      <c r="G159" s="286"/>
      <c r="H159" s="286"/>
      <c r="I159" s="286"/>
      <c r="J159" s="286"/>
      <c r="K159" s="286"/>
    </row>
    <row r="160" spans="2:11">
      <c r="B160" s="354"/>
      <c r="C160" s="286"/>
      <c r="D160" s="286"/>
      <c r="E160" s="286"/>
      <c r="F160" s="286"/>
      <c r="G160" s="286"/>
      <c r="H160" s="286"/>
      <c r="I160" s="286"/>
      <c r="J160" s="286"/>
      <c r="K160" s="286"/>
    </row>
    <row r="161" spans="2:11">
      <c r="B161" s="354"/>
      <c r="C161" s="286"/>
      <c r="D161" s="286"/>
      <c r="E161" s="286"/>
      <c r="F161" s="286"/>
      <c r="G161" s="286"/>
      <c r="H161" s="286"/>
      <c r="I161" s="286"/>
      <c r="J161" s="286"/>
      <c r="K161" s="286"/>
    </row>
    <row r="162" spans="2:11">
      <c r="B162" s="354"/>
      <c r="C162" s="286"/>
      <c r="D162" s="286"/>
      <c r="E162" s="286"/>
      <c r="F162" s="286"/>
      <c r="G162" s="286"/>
      <c r="H162" s="286"/>
      <c r="I162" s="286"/>
      <c r="J162" s="286"/>
      <c r="K162" s="286"/>
    </row>
    <row r="163" spans="2:11">
      <c r="B163" s="354"/>
      <c r="C163" s="286"/>
      <c r="D163" s="286"/>
      <c r="E163" s="286"/>
      <c r="F163" s="286"/>
      <c r="G163" s="286"/>
      <c r="H163" s="286"/>
      <c r="I163" s="286"/>
      <c r="J163" s="286"/>
      <c r="K163" s="286"/>
    </row>
    <row r="164" spans="2:11">
      <c r="B164" s="354"/>
      <c r="C164" s="286"/>
      <c r="D164" s="286"/>
      <c r="E164" s="286"/>
      <c r="F164" s="286"/>
      <c r="G164" s="286"/>
      <c r="H164" s="286"/>
      <c r="I164" s="286"/>
      <c r="J164" s="286"/>
      <c r="K164" s="286"/>
    </row>
    <row r="165" spans="2:11">
      <c r="B165" s="354"/>
      <c r="C165" s="286"/>
      <c r="D165" s="286"/>
      <c r="E165" s="286"/>
      <c r="F165" s="286"/>
      <c r="G165" s="286"/>
      <c r="H165" s="286"/>
      <c r="I165" s="286"/>
      <c r="J165" s="286"/>
      <c r="K165" s="286"/>
    </row>
    <row r="166" spans="2:11">
      <c r="B166" s="354"/>
      <c r="C166" s="286"/>
      <c r="D166" s="286"/>
      <c r="E166" s="286"/>
      <c r="F166" s="286"/>
      <c r="G166" s="286"/>
      <c r="H166" s="286"/>
      <c r="I166" s="286"/>
      <c r="J166" s="286"/>
      <c r="K166" s="286"/>
    </row>
    <row r="167" spans="2:11">
      <c r="B167" s="354"/>
      <c r="C167" s="286"/>
      <c r="D167" s="286"/>
      <c r="E167" s="286"/>
      <c r="F167" s="286"/>
      <c r="G167" s="286"/>
      <c r="H167" s="286"/>
      <c r="I167" s="286"/>
      <c r="J167" s="286"/>
      <c r="K167" s="286"/>
    </row>
    <row r="168" spans="2:11">
      <c r="B168" s="354"/>
      <c r="C168" s="286"/>
      <c r="D168" s="286"/>
      <c r="E168" s="286"/>
      <c r="F168" s="286"/>
      <c r="G168" s="286"/>
      <c r="H168" s="286"/>
      <c r="I168" s="286"/>
      <c r="J168" s="286"/>
      <c r="K168" s="286"/>
    </row>
    <row r="169" spans="2:11">
      <c r="B169" s="354"/>
      <c r="C169" s="286"/>
      <c r="D169" s="286"/>
      <c r="E169" s="286"/>
      <c r="F169" s="286"/>
      <c r="G169" s="286"/>
      <c r="H169" s="286"/>
      <c r="I169" s="286"/>
      <c r="J169" s="286"/>
      <c r="K169" s="286"/>
    </row>
    <row r="170" spans="2:11">
      <c r="B170" s="354"/>
      <c r="C170" s="286"/>
      <c r="D170" s="286"/>
      <c r="E170" s="286"/>
      <c r="F170" s="286"/>
      <c r="G170" s="286"/>
      <c r="H170" s="286"/>
      <c r="I170" s="286"/>
      <c r="J170" s="286"/>
      <c r="K170" s="286"/>
    </row>
    <row r="171" spans="2:11">
      <c r="B171" s="354"/>
      <c r="C171" s="286"/>
      <c r="D171" s="286"/>
      <c r="E171" s="286"/>
      <c r="F171" s="286"/>
      <c r="G171" s="286"/>
      <c r="H171" s="286"/>
      <c r="I171" s="286"/>
      <c r="J171" s="286"/>
      <c r="K171" s="286"/>
    </row>
    <row r="172" spans="2:11">
      <c r="B172" s="354"/>
      <c r="C172" s="286"/>
      <c r="D172" s="286"/>
      <c r="E172" s="286"/>
      <c r="F172" s="286"/>
      <c r="G172" s="286"/>
      <c r="H172" s="286"/>
      <c r="I172" s="286"/>
      <c r="J172" s="286"/>
      <c r="K172" s="286"/>
    </row>
    <row r="173" spans="2:11">
      <c r="B173" s="354"/>
      <c r="C173" s="286"/>
      <c r="D173" s="286"/>
      <c r="E173" s="286"/>
      <c r="F173" s="286"/>
      <c r="G173" s="286"/>
      <c r="H173" s="286"/>
      <c r="I173" s="286"/>
      <c r="J173" s="286"/>
      <c r="K173" s="286"/>
    </row>
    <row r="174" spans="2:11">
      <c r="B174" s="354"/>
      <c r="C174" s="286"/>
      <c r="D174" s="286"/>
      <c r="E174" s="286"/>
      <c r="F174" s="286"/>
      <c r="G174" s="286"/>
      <c r="H174" s="286"/>
      <c r="I174" s="286"/>
      <c r="J174" s="286"/>
      <c r="K174" s="286"/>
    </row>
    <row r="175" spans="2:11">
      <c r="B175" s="354"/>
      <c r="C175" s="286"/>
      <c r="D175" s="286"/>
      <c r="E175" s="286"/>
      <c r="F175" s="286"/>
      <c r="G175" s="286"/>
      <c r="H175" s="286"/>
      <c r="I175" s="286"/>
      <c r="J175" s="286"/>
      <c r="K175" s="286"/>
    </row>
    <row r="176" spans="2:11">
      <c r="B176" s="354"/>
      <c r="C176" s="286"/>
      <c r="D176" s="286"/>
      <c r="E176" s="286"/>
      <c r="F176" s="286"/>
      <c r="G176" s="286"/>
      <c r="H176" s="286"/>
      <c r="I176" s="286"/>
      <c r="J176" s="286"/>
      <c r="K176" s="286"/>
    </row>
    <row r="177" spans="2:11">
      <c r="B177" s="354"/>
      <c r="C177" s="286"/>
      <c r="D177" s="286"/>
      <c r="E177" s="286"/>
      <c r="F177" s="286"/>
      <c r="G177" s="286"/>
      <c r="H177" s="286"/>
      <c r="I177" s="286"/>
      <c r="J177" s="286"/>
      <c r="K177" s="286"/>
    </row>
    <row r="178" spans="2:11">
      <c r="B178" s="354"/>
      <c r="C178" s="286"/>
      <c r="D178" s="286"/>
      <c r="E178" s="286"/>
      <c r="F178" s="286"/>
      <c r="G178" s="286"/>
      <c r="H178" s="286"/>
      <c r="I178" s="286"/>
      <c r="J178" s="286"/>
      <c r="K178" s="286"/>
    </row>
    <row r="179" spans="2:11">
      <c r="B179" s="354"/>
      <c r="C179" s="286"/>
      <c r="D179" s="286"/>
      <c r="E179" s="286"/>
      <c r="F179" s="286"/>
      <c r="G179" s="286"/>
      <c r="H179" s="286"/>
      <c r="I179" s="286"/>
      <c r="J179" s="286"/>
      <c r="K179" s="286"/>
    </row>
    <row r="180" spans="2:11">
      <c r="B180" s="354"/>
      <c r="C180" s="286"/>
      <c r="D180" s="286"/>
      <c r="E180" s="286"/>
      <c r="F180" s="286"/>
      <c r="G180" s="286"/>
      <c r="H180" s="286"/>
      <c r="I180" s="286"/>
      <c r="J180" s="286"/>
      <c r="K180" s="286"/>
    </row>
    <row r="181" spans="2:11">
      <c r="B181" s="354"/>
      <c r="C181" s="286"/>
      <c r="D181" s="286"/>
      <c r="E181" s="286"/>
      <c r="F181" s="286"/>
      <c r="G181" s="286"/>
      <c r="H181" s="286"/>
      <c r="I181" s="286"/>
      <c r="J181" s="286"/>
      <c r="K181" s="286"/>
    </row>
    <row r="182" spans="2:11">
      <c r="B182" s="354"/>
      <c r="C182" s="286"/>
      <c r="D182" s="286"/>
      <c r="E182" s="286"/>
      <c r="F182" s="286"/>
      <c r="G182" s="286"/>
      <c r="H182" s="286"/>
      <c r="I182" s="286"/>
      <c r="J182" s="286"/>
      <c r="K182" s="286"/>
    </row>
    <row r="183" spans="2:11">
      <c r="B183" s="354"/>
      <c r="C183" s="286"/>
      <c r="D183" s="286"/>
      <c r="E183" s="286"/>
      <c r="F183" s="286"/>
      <c r="G183" s="286"/>
      <c r="H183" s="286"/>
      <c r="I183" s="286"/>
      <c r="J183" s="286"/>
      <c r="K183" s="286"/>
    </row>
    <row r="184" spans="2:11">
      <c r="B184" s="354"/>
      <c r="C184" s="286"/>
      <c r="D184" s="286"/>
      <c r="E184" s="286"/>
      <c r="F184" s="286"/>
      <c r="G184" s="286"/>
      <c r="H184" s="286"/>
      <c r="I184" s="286"/>
      <c r="J184" s="286"/>
      <c r="K184" s="286"/>
    </row>
    <row r="185" spans="2:11">
      <c r="B185" s="354"/>
      <c r="C185" s="286"/>
      <c r="D185" s="286"/>
      <c r="E185" s="286"/>
      <c r="F185" s="286"/>
      <c r="G185" s="286"/>
      <c r="H185" s="286"/>
      <c r="I185" s="286"/>
      <c r="J185" s="286"/>
      <c r="K185" s="286"/>
    </row>
    <row r="186" spans="2:11">
      <c r="B186" s="354"/>
      <c r="C186" s="286"/>
      <c r="D186" s="286"/>
      <c r="E186" s="286"/>
      <c r="F186" s="286"/>
      <c r="G186" s="286"/>
      <c r="H186" s="286"/>
      <c r="I186" s="286"/>
      <c r="J186" s="286"/>
      <c r="K186" s="286"/>
    </row>
    <row r="187" spans="2:11">
      <c r="B187" s="354"/>
      <c r="C187" s="286"/>
      <c r="D187" s="286"/>
      <c r="E187" s="286"/>
      <c r="F187" s="286"/>
      <c r="G187" s="286"/>
      <c r="H187" s="286"/>
      <c r="I187" s="286"/>
      <c r="J187" s="286"/>
      <c r="K187" s="286"/>
    </row>
    <row r="188" spans="2:11">
      <c r="B188" s="354"/>
      <c r="C188" s="286"/>
      <c r="D188" s="286"/>
      <c r="E188" s="286"/>
      <c r="F188" s="286"/>
      <c r="G188" s="286"/>
      <c r="H188" s="286"/>
      <c r="I188" s="286"/>
      <c r="J188" s="286"/>
      <c r="K188" s="286"/>
    </row>
    <row r="189" spans="2:11">
      <c r="B189" s="354"/>
      <c r="C189" s="286"/>
      <c r="D189" s="286"/>
      <c r="E189" s="286"/>
      <c r="F189" s="286"/>
      <c r="G189" s="286"/>
      <c r="H189" s="286"/>
      <c r="I189" s="286"/>
      <c r="J189" s="286"/>
      <c r="K189" s="286"/>
    </row>
    <row r="190" spans="2:11">
      <c r="B190" s="354"/>
      <c r="C190" s="286"/>
      <c r="D190" s="286"/>
      <c r="E190" s="286"/>
      <c r="F190" s="286"/>
      <c r="G190" s="286"/>
      <c r="H190" s="286"/>
      <c r="I190" s="286"/>
      <c r="J190" s="286"/>
      <c r="K190" s="286"/>
    </row>
    <row r="191" spans="2:11">
      <c r="B191" s="354"/>
      <c r="C191" s="286"/>
      <c r="D191" s="286"/>
      <c r="E191" s="286"/>
      <c r="F191" s="286"/>
      <c r="G191" s="286"/>
      <c r="H191" s="286"/>
      <c r="I191" s="286"/>
      <c r="J191" s="286"/>
      <c r="K191" s="286"/>
    </row>
    <row r="192" spans="2:11">
      <c r="B192" s="354"/>
      <c r="C192" s="286"/>
      <c r="D192" s="286"/>
      <c r="E192" s="286"/>
      <c r="F192" s="286"/>
      <c r="G192" s="286"/>
      <c r="H192" s="286"/>
      <c r="I192" s="286"/>
      <c r="J192" s="286"/>
      <c r="K192" s="286"/>
    </row>
    <row r="193" spans="2:11">
      <c r="B193" s="354"/>
      <c r="C193" s="286"/>
      <c r="D193" s="286"/>
      <c r="E193" s="286"/>
      <c r="F193" s="286"/>
      <c r="G193" s="286"/>
      <c r="H193" s="286"/>
      <c r="I193" s="286"/>
      <c r="J193" s="286"/>
      <c r="K193" s="286"/>
    </row>
    <row r="194" spans="2:11">
      <c r="B194" s="354"/>
      <c r="C194" s="286"/>
      <c r="D194" s="286"/>
      <c r="E194" s="286"/>
      <c r="F194" s="286"/>
      <c r="G194" s="286"/>
      <c r="H194" s="286"/>
      <c r="I194" s="286"/>
      <c r="J194" s="286"/>
      <c r="K194" s="286"/>
    </row>
    <row r="195" spans="2:11">
      <c r="B195" s="354"/>
      <c r="C195" s="286"/>
      <c r="D195" s="286"/>
      <c r="E195" s="286"/>
      <c r="F195" s="286"/>
      <c r="G195" s="286"/>
      <c r="H195" s="286"/>
      <c r="I195" s="286"/>
      <c r="J195" s="286"/>
      <c r="K195" s="286"/>
    </row>
    <row r="196" spans="2:11">
      <c r="B196" s="354"/>
      <c r="C196" s="286"/>
      <c r="D196" s="286"/>
      <c r="E196" s="286"/>
      <c r="F196" s="286"/>
      <c r="G196" s="286"/>
      <c r="H196" s="286"/>
      <c r="I196" s="286"/>
      <c r="J196" s="286"/>
      <c r="K196" s="286"/>
    </row>
    <row r="197" spans="2:11">
      <c r="B197" s="354"/>
      <c r="C197" s="286"/>
      <c r="D197" s="286"/>
      <c r="E197" s="286"/>
      <c r="F197" s="286"/>
      <c r="G197" s="286"/>
      <c r="H197" s="286"/>
      <c r="I197" s="286"/>
      <c r="J197" s="286"/>
      <c r="K197" s="286"/>
    </row>
    <row r="198" spans="2:11">
      <c r="B198" s="354"/>
      <c r="C198" s="286"/>
      <c r="D198" s="286"/>
      <c r="E198" s="286"/>
      <c r="F198" s="286"/>
      <c r="G198" s="286"/>
      <c r="H198" s="286"/>
      <c r="I198" s="286"/>
      <c r="J198" s="286"/>
      <c r="K198" s="286"/>
    </row>
    <row r="199" spans="2:11">
      <c r="B199" s="354"/>
      <c r="C199" s="286"/>
      <c r="D199" s="286"/>
      <c r="E199" s="286"/>
      <c r="F199" s="286"/>
      <c r="G199" s="286"/>
      <c r="H199" s="286"/>
      <c r="I199" s="286"/>
      <c r="J199" s="286"/>
      <c r="K199" s="286"/>
    </row>
    <row r="200" spans="2:11">
      <c r="B200" s="354"/>
      <c r="C200" s="286"/>
      <c r="D200" s="286"/>
      <c r="E200" s="286"/>
      <c r="F200" s="286"/>
      <c r="G200" s="286"/>
      <c r="H200" s="286"/>
      <c r="I200" s="286"/>
      <c r="J200" s="286"/>
      <c r="K200" s="286"/>
    </row>
    <row r="201" spans="2:11">
      <c r="B201" s="354"/>
      <c r="C201" s="286"/>
      <c r="D201" s="286"/>
      <c r="E201" s="286"/>
      <c r="F201" s="286"/>
      <c r="G201" s="286"/>
      <c r="H201" s="286"/>
      <c r="I201" s="286"/>
      <c r="J201" s="286"/>
      <c r="K201" s="286"/>
    </row>
    <row r="202" spans="2:11">
      <c r="B202" s="354"/>
      <c r="C202" s="286"/>
      <c r="D202" s="286"/>
      <c r="E202" s="286"/>
      <c r="F202" s="286"/>
      <c r="G202" s="286"/>
      <c r="H202" s="286"/>
      <c r="I202" s="286"/>
      <c r="J202" s="286"/>
      <c r="K202" s="286"/>
    </row>
    <row r="203" spans="2:11">
      <c r="B203" s="354"/>
      <c r="C203" s="286"/>
      <c r="D203" s="286"/>
      <c r="E203" s="286"/>
      <c r="F203" s="286"/>
      <c r="G203" s="286"/>
      <c r="H203" s="286"/>
      <c r="I203" s="286"/>
      <c r="J203" s="286"/>
      <c r="K203" s="286"/>
    </row>
    <row r="204" spans="2:11">
      <c r="B204" s="354"/>
      <c r="C204" s="286"/>
      <c r="D204" s="286"/>
      <c r="E204" s="286"/>
      <c r="F204" s="286"/>
      <c r="G204" s="286"/>
      <c r="H204" s="286"/>
      <c r="I204" s="286"/>
      <c r="J204" s="286"/>
      <c r="K204" s="286"/>
    </row>
    <row r="205" spans="2:11">
      <c r="B205" s="354"/>
      <c r="C205" s="286"/>
      <c r="D205" s="286"/>
      <c r="E205" s="286"/>
      <c r="F205" s="286"/>
      <c r="G205" s="286"/>
      <c r="H205" s="286"/>
      <c r="I205" s="286"/>
      <c r="J205" s="286"/>
      <c r="K205" s="286"/>
    </row>
    <row r="206" spans="2:11">
      <c r="B206" s="354"/>
      <c r="C206" s="286"/>
      <c r="D206" s="286"/>
      <c r="E206" s="286"/>
      <c r="F206" s="286"/>
      <c r="G206" s="286"/>
      <c r="H206" s="286"/>
      <c r="I206" s="286"/>
      <c r="J206" s="286"/>
      <c r="K206" s="286"/>
    </row>
    <row r="207" spans="2:11">
      <c r="B207" s="354"/>
      <c r="C207" s="286"/>
      <c r="D207" s="286"/>
      <c r="E207" s="286"/>
      <c r="F207" s="286"/>
      <c r="G207" s="286"/>
      <c r="H207" s="286"/>
      <c r="I207" s="286"/>
      <c r="J207" s="286"/>
      <c r="K207" s="286"/>
    </row>
    <row r="208" spans="2:11">
      <c r="B208" s="354"/>
      <c r="C208" s="286"/>
      <c r="D208" s="286"/>
      <c r="E208" s="286"/>
      <c r="F208" s="286"/>
      <c r="G208" s="286"/>
      <c r="H208" s="286"/>
      <c r="I208" s="286"/>
      <c r="J208" s="286"/>
      <c r="K208" s="286"/>
    </row>
    <row r="209" spans="2:11">
      <c r="B209" s="354"/>
      <c r="C209" s="286"/>
      <c r="D209" s="286"/>
      <c r="E209" s="286"/>
      <c r="F209" s="286"/>
      <c r="G209" s="286"/>
      <c r="H209" s="286"/>
      <c r="I209" s="286"/>
      <c r="J209" s="286"/>
      <c r="K209" s="286"/>
    </row>
    <row r="210" spans="2:11">
      <c r="B210" s="354"/>
      <c r="C210" s="286"/>
      <c r="D210" s="286"/>
      <c r="E210" s="286"/>
      <c r="F210" s="286"/>
      <c r="G210" s="286"/>
      <c r="H210" s="286"/>
      <c r="I210" s="286"/>
      <c r="J210" s="286"/>
      <c r="K210" s="286"/>
    </row>
    <row r="211" spans="2:11" ht="14.25" customHeight="1">
      <c r="B211" s="354"/>
      <c r="C211" s="286"/>
      <c r="D211" s="286"/>
      <c r="E211" s="286"/>
      <c r="F211" s="286"/>
      <c r="G211" s="286"/>
      <c r="H211" s="286"/>
      <c r="I211" s="286"/>
      <c r="J211" s="286"/>
      <c r="K211" s="286"/>
    </row>
    <row r="212" spans="2:11" ht="12.75" customHeight="1">
      <c r="B212" s="354"/>
      <c r="C212" s="286"/>
      <c r="D212" s="286"/>
      <c r="E212" s="286"/>
      <c r="F212" s="286"/>
      <c r="G212" s="286"/>
      <c r="H212" s="286"/>
      <c r="I212" s="286"/>
      <c r="J212" s="286"/>
      <c r="K212" s="286"/>
    </row>
    <row r="213" spans="2:11" ht="12.75" customHeight="1">
      <c r="B213" s="354"/>
      <c r="C213" s="286"/>
      <c r="D213" s="286"/>
      <c r="E213" s="286"/>
      <c r="F213" s="286"/>
      <c r="G213" s="286"/>
      <c r="H213" s="286"/>
      <c r="I213" s="286"/>
      <c r="J213" s="286"/>
      <c r="K213" s="286"/>
    </row>
    <row r="214" spans="2:11" ht="12.75" customHeight="1">
      <c r="B214" s="354"/>
      <c r="C214" s="286"/>
      <c r="D214" s="286"/>
      <c r="E214" s="286"/>
      <c r="F214" s="286"/>
      <c r="G214" s="286"/>
      <c r="H214" s="286"/>
      <c r="I214" s="286"/>
      <c r="J214" s="286"/>
      <c r="K214" s="286"/>
    </row>
    <row r="215" spans="2:11" ht="12.75" customHeight="1">
      <c r="B215" s="354"/>
      <c r="C215" s="286"/>
      <c r="D215" s="286"/>
      <c r="E215" s="286"/>
      <c r="F215" s="286"/>
      <c r="G215" s="286"/>
      <c r="H215" s="286"/>
      <c r="I215" s="286"/>
      <c r="J215" s="286"/>
      <c r="K215" s="286"/>
    </row>
    <row r="216" spans="2:11" ht="12.75" customHeight="1">
      <c r="B216" s="354"/>
      <c r="C216" s="286"/>
      <c r="D216" s="286"/>
      <c r="E216" s="286"/>
      <c r="F216" s="286"/>
      <c r="G216" s="286"/>
      <c r="H216" s="286"/>
      <c r="I216" s="286"/>
      <c r="J216" s="286"/>
      <c r="K216" s="286"/>
    </row>
    <row r="217" spans="2:11" ht="12.75" customHeight="1">
      <c r="B217" s="354"/>
      <c r="C217" s="286"/>
      <c r="D217" s="286"/>
      <c r="E217" s="286"/>
      <c r="F217" s="286"/>
      <c r="G217" s="286"/>
      <c r="H217" s="286"/>
      <c r="I217" s="286"/>
      <c r="J217" s="286"/>
      <c r="K217" s="286"/>
    </row>
    <row r="218" spans="2:11" ht="12.75" customHeight="1">
      <c r="B218" s="354"/>
      <c r="C218" s="286"/>
      <c r="D218" s="286"/>
      <c r="E218" s="286"/>
      <c r="F218" s="286"/>
      <c r="G218" s="286"/>
      <c r="H218" s="286"/>
      <c r="I218" s="286"/>
      <c r="J218" s="286"/>
      <c r="K218" s="286"/>
    </row>
    <row r="219" spans="2:11" ht="12.75" customHeight="1">
      <c r="B219" s="354"/>
      <c r="C219" s="286"/>
      <c r="D219" s="286"/>
      <c r="E219" s="286"/>
      <c r="F219" s="286"/>
      <c r="G219" s="286"/>
      <c r="H219" s="286"/>
      <c r="I219" s="286"/>
      <c r="J219" s="286"/>
      <c r="K219" s="286"/>
    </row>
    <row r="220" spans="2:11" ht="12.75" customHeight="1">
      <c r="B220" s="354"/>
      <c r="C220" s="286"/>
      <c r="D220" s="286"/>
      <c r="E220" s="286"/>
      <c r="F220" s="286"/>
      <c r="G220" s="286"/>
      <c r="H220" s="286"/>
      <c r="I220" s="286"/>
      <c r="J220" s="286"/>
      <c r="K220" s="286"/>
    </row>
    <row r="221" spans="2:11" ht="12.75" customHeight="1">
      <c r="B221" s="354"/>
      <c r="C221" s="286"/>
      <c r="D221" s="286"/>
      <c r="E221" s="286"/>
      <c r="F221" s="286"/>
      <c r="G221" s="286"/>
      <c r="H221" s="286"/>
      <c r="I221" s="286"/>
      <c r="J221" s="286"/>
      <c r="K221" s="286"/>
    </row>
    <row r="222" spans="2:11" ht="12.75" customHeight="1">
      <c r="B222" s="354"/>
      <c r="C222" s="286"/>
      <c r="D222" s="286"/>
      <c r="E222" s="286"/>
      <c r="F222" s="286"/>
      <c r="G222" s="286"/>
      <c r="H222" s="286"/>
      <c r="I222" s="286"/>
      <c r="J222" s="286"/>
      <c r="K222" s="286"/>
    </row>
    <row r="223" spans="2:11" ht="12.75" customHeight="1">
      <c r="B223" s="354"/>
      <c r="C223" s="286"/>
      <c r="D223" s="286"/>
      <c r="E223" s="286"/>
      <c r="F223" s="286"/>
      <c r="G223" s="286"/>
      <c r="H223" s="286"/>
      <c r="I223" s="286"/>
      <c r="J223" s="286"/>
      <c r="K223" s="286"/>
    </row>
    <row r="224" spans="2:11" ht="12.75" customHeight="1">
      <c r="B224" s="354"/>
      <c r="C224" s="286"/>
      <c r="D224" s="286"/>
      <c r="E224" s="286"/>
      <c r="F224" s="286"/>
      <c r="G224" s="286"/>
      <c r="H224" s="286"/>
      <c r="I224" s="286"/>
      <c r="J224" s="286"/>
      <c r="K224" s="286"/>
    </row>
    <row r="225" spans="2:11" ht="12.75" customHeight="1">
      <c r="B225" s="354"/>
      <c r="C225" s="286"/>
      <c r="D225" s="286"/>
      <c r="E225" s="286"/>
      <c r="F225" s="286"/>
      <c r="G225" s="286"/>
      <c r="H225" s="286"/>
      <c r="I225" s="286"/>
      <c r="J225" s="286"/>
      <c r="K225" s="286"/>
    </row>
    <row r="226" spans="2:11" ht="12.75" customHeight="1">
      <c r="B226" s="354"/>
      <c r="C226" s="286"/>
      <c r="D226" s="286"/>
      <c r="E226" s="286"/>
      <c r="F226" s="286"/>
      <c r="G226" s="286"/>
      <c r="H226" s="286"/>
      <c r="I226" s="286"/>
      <c r="J226" s="286"/>
      <c r="K226" s="286"/>
    </row>
    <row r="227" spans="2:11">
      <c r="B227" s="354"/>
      <c r="C227" s="286"/>
      <c r="D227" s="286"/>
      <c r="E227" s="286"/>
      <c r="F227" s="286"/>
      <c r="G227" s="286"/>
      <c r="H227" s="286"/>
      <c r="I227" s="286"/>
      <c r="J227" s="286"/>
      <c r="K227" s="286"/>
    </row>
    <row r="228" spans="2:11">
      <c r="B228" s="354"/>
      <c r="C228" s="286"/>
      <c r="D228" s="286"/>
      <c r="E228" s="286"/>
      <c r="F228" s="286"/>
      <c r="G228" s="286"/>
      <c r="H228" s="286"/>
      <c r="I228" s="286"/>
      <c r="J228" s="286"/>
      <c r="K228" s="286"/>
    </row>
    <row r="229" spans="2:11">
      <c r="B229" s="354"/>
      <c r="C229" s="286"/>
      <c r="D229" s="286"/>
      <c r="E229" s="286"/>
      <c r="F229" s="286"/>
      <c r="G229" s="286"/>
      <c r="H229" s="286"/>
      <c r="I229" s="286"/>
      <c r="J229" s="286"/>
      <c r="K229" s="286"/>
    </row>
    <row r="230" spans="2:11">
      <c r="B230" s="354"/>
      <c r="C230" s="286"/>
      <c r="D230" s="286"/>
      <c r="E230" s="286"/>
      <c r="F230" s="286"/>
      <c r="G230" s="286"/>
      <c r="H230" s="286"/>
      <c r="I230" s="286"/>
      <c r="J230" s="286"/>
      <c r="K230" s="286"/>
    </row>
    <row r="231" spans="2:11">
      <c r="B231" s="354"/>
      <c r="C231" s="286"/>
      <c r="D231" s="286"/>
      <c r="E231" s="286"/>
      <c r="F231" s="286"/>
      <c r="G231" s="286"/>
      <c r="H231" s="286"/>
      <c r="I231" s="286"/>
      <c r="J231" s="286"/>
      <c r="K231" s="286"/>
    </row>
    <row r="232" spans="2:11">
      <c r="B232" s="354"/>
      <c r="C232" s="286"/>
      <c r="D232" s="286"/>
      <c r="E232" s="286"/>
      <c r="F232" s="286"/>
      <c r="G232" s="286"/>
      <c r="H232" s="286"/>
      <c r="I232" s="286"/>
      <c r="J232" s="286"/>
      <c r="K232" s="286"/>
    </row>
    <row r="233" spans="2:11">
      <c r="B233" s="354"/>
      <c r="C233" s="286"/>
      <c r="D233" s="286"/>
      <c r="E233" s="286"/>
      <c r="F233" s="286"/>
      <c r="G233" s="286"/>
      <c r="H233" s="286"/>
      <c r="I233" s="286"/>
      <c r="J233" s="286"/>
      <c r="K233" s="286"/>
    </row>
    <row r="234" spans="2:11">
      <c r="B234" s="354"/>
      <c r="C234" s="286"/>
      <c r="D234" s="286"/>
      <c r="E234" s="286"/>
      <c r="F234" s="286"/>
      <c r="G234" s="286"/>
      <c r="H234" s="286"/>
      <c r="I234" s="286"/>
      <c r="J234" s="286"/>
      <c r="K234" s="286"/>
    </row>
    <row r="235" spans="2:11">
      <c r="B235" s="354"/>
      <c r="C235" s="286"/>
      <c r="D235" s="286"/>
      <c r="E235" s="286"/>
      <c r="F235" s="286"/>
      <c r="G235" s="286"/>
      <c r="H235" s="286"/>
      <c r="I235" s="286"/>
      <c r="J235" s="286"/>
      <c r="K235" s="286"/>
    </row>
    <row r="236" spans="2:11">
      <c r="B236" s="354"/>
      <c r="C236" s="286"/>
      <c r="D236" s="286"/>
      <c r="E236" s="286"/>
      <c r="F236" s="286"/>
      <c r="G236" s="286"/>
      <c r="H236" s="286"/>
      <c r="I236" s="286"/>
      <c r="J236" s="286"/>
      <c r="K236" s="286"/>
    </row>
    <row r="237" spans="2:11">
      <c r="B237" s="354"/>
      <c r="C237" s="286"/>
      <c r="D237" s="286"/>
      <c r="E237" s="286"/>
      <c r="F237" s="286"/>
      <c r="G237" s="286"/>
      <c r="H237" s="286"/>
      <c r="I237" s="286"/>
      <c r="J237" s="286"/>
      <c r="K237" s="286"/>
    </row>
    <row r="238" spans="2:11">
      <c r="B238" s="354"/>
      <c r="C238" s="286"/>
      <c r="D238" s="286"/>
      <c r="E238" s="286"/>
      <c r="F238" s="286"/>
      <c r="G238" s="286"/>
      <c r="H238" s="286"/>
      <c r="I238" s="286"/>
      <c r="J238" s="286"/>
      <c r="K238" s="286"/>
    </row>
    <row r="239" spans="2:11">
      <c r="B239" s="354"/>
      <c r="C239" s="286"/>
      <c r="D239" s="286"/>
      <c r="E239" s="286"/>
      <c r="F239" s="286"/>
      <c r="G239" s="286"/>
      <c r="H239" s="286"/>
      <c r="I239" s="286"/>
      <c r="J239" s="286"/>
      <c r="K239" s="286"/>
    </row>
    <row r="240" spans="2:11">
      <c r="B240" s="354"/>
      <c r="C240" s="286"/>
      <c r="D240" s="286"/>
      <c r="E240" s="286"/>
      <c r="F240" s="286"/>
      <c r="G240" s="286"/>
      <c r="H240" s="286"/>
      <c r="I240" s="286"/>
      <c r="J240" s="286"/>
      <c r="K240" s="286"/>
    </row>
    <row r="241" spans="2:11">
      <c r="B241" s="354"/>
      <c r="C241" s="286"/>
      <c r="D241" s="286"/>
      <c r="E241" s="286"/>
      <c r="F241" s="286"/>
      <c r="G241" s="286"/>
      <c r="H241" s="286"/>
      <c r="I241" s="286"/>
      <c r="J241" s="286"/>
      <c r="K241" s="286"/>
    </row>
    <row r="242" spans="2:11">
      <c r="B242" s="354"/>
      <c r="C242" s="286"/>
      <c r="D242" s="286"/>
      <c r="E242" s="286"/>
      <c r="F242" s="286"/>
      <c r="G242" s="286"/>
      <c r="H242" s="286"/>
      <c r="I242" s="286"/>
      <c r="J242" s="286"/>
      <c r="K242" s="286"/>
    </row>
    <row r="243" spans="2:11">
      <c r="B243" s="354"/>
      <c r="C243" s="286"/>
      <c r="D243" s="286"/>
      <c r="E243" s="286"/>
      <c r="F243" s="286"/>
      <c r="G243" s="286"/>
      <c r="H243" s="286"/>
      <c r="I243" s="286"/>
      <c r="J243" s="286"/>
      <c r="K243" s="286"/>
    </row>
    <row r="244" spans="2:11">
      <c r="B244" s="354"/>
      <c r="C244" s="286"/>
      <c r="D244" s="286"/>
      <c r="E244" s="286"/>
      <c r="F244" s="286"/>
      <c r="G244" s="286"/>
      <c r="H244" s="286"/>
      <c r="I244" s="286"/>
      <c r="J244" s="286"/>
      <c r="K244" s="286"/>
    </row>
  </sheetData>
  <mergeCells count="5">
    <mergeCell ref="A2:J2"/>
    <mergeCell ref="A3:J3"/>
    <mergeCell ref="A4:J4"/>
    <mergeCell ref="A5:J5"/>
    <mergeCell ref="G54:G57"/>
  </mergeCells>
  <printOptions horizontalCentered="1"/>
  <pageMargins left="0.25" right="0.25" top="1" bottom="1" header="0.65" footer="0.5"/>
  <pageSetup scale="10" orientation="portrait" horizontalDpi="1200" verticalDpi="1200" r:id="rId1"/>
  <headerFooter alignWithMargins="0">
    <oddHeader xml:space="preserve">&amp;R&amp;16AEP - SPP Formula Rate
TCOS - WS C
Page: &amp;P of &amp;N
</oddHeader>
    <oddFooter xml:space="preserve">&amp;C &amp;R </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9"/>
  <sheetViews>
    <sheetView zoomScale="70" zoomScaleNormal="70" zoomScaleSheetLayoutView="84" workbookViewId="0">
      <pane ySplit="15" topLeftCell="A53" activePane="bottomLeft" state="frozen"/>
      <selection activeCell="I14" sqref="I14"/>
      <selection pane="bottomLeft" activeCell="V17" sqref="V17:V93"/>
    </sheetView>
  </sheetViews>
  <sheetFormatPr defaultRowHeight="12.75" customHeight="1"/>
  <cols>
    <col min="1" max="1" width="7.453125" customWidth="1"/>
    <col min="2" max="2" width="9" customWidth="1"/>
    <col min="3" max="3" width="45.54296875" customWidth="1"/>
    <col min="4" max="4" width="9.453125" customWidth="1"/>
    <col min="5" max="5" width="13.453125" customWidth="1"/>
    <col min="6" max="6" width="11.54296875" customWidth="1"/>
    <col min="7" max="7" width="12.81640625" customWidth="1"/>
    <col min="8" max="8" width="3.453125" customWidth="1"/>
    <col min="9" max="10" width="14.81640625" customWidth="1"/>
    <col min="11" max="11" width="15.453125" customWidth="1"/>
    <col min="12" max="12" width="2.453125" customWidth="1"/>
    <col min="13" max="13" width="10.453125" customWidth="1"/>
    <col min="14" max="14" width="14.1796875" customWidth="1"/>
    <col min="15" max="16" width="14.453125" customWidth="1"/>
    <col min="17" max="17" width="11.1796875" bestFit="1" customWidth="1"/>
    <col min="18" max="18" width="21.453125" customWidth="1"/>
    <col min="19" max="19" width="2.453125" customWidth="1"/>
    <col min="20" max="20" width="17.453125" customWidth="1"/>
    <col min="21" max="21" width="14.54296875" bestFit="1" customWidth="1"/>
    <col min="22" max="22" width="16.54296875" customWidth="1"/>
  </cols>
  <sheetData>
    <row r="1" spans="1:23" ht="12.75" customHeight="1">
      <c r="A1" s="211"/>
    </row>
    <row r="2" spans="1:23" ht="15.5">
      <c r="H2" s="47" t="s">
        <v>694</v>
      </c>
      <c r="U2">
        <f>+'PSO TCOS'!N2</f>
        <v>2024</v>
      </c>
    </row>
    <row r="3" spans="1:23" ht="15.5">
      <c r="H3" s="421" t="s">
        <v>693</v>
      </c>
    </row>
    <row r="4" spans="1:23" ht="15.5">
      <c r="H4" s="47" t="str">
        <f>"For Calendar Year "&amp;U2&amp;" and Projected Year "&amp;U2+1</f>
        <v>For Calendar Year 2024 and Projected Year 2025</v>
      </c>
    </row>
    <row r="5" spans="1:23" ht="15.5">
      <c r="H5" s="6"/>
    </row>
    <row r="6" spans="1:23" ht="15.5">
      <c r="H6" s="202" t="s">
        <v>555</v>
      </c>
    </row>
    <row r="8" spans="1:23" ht="18">
      <c r="C8" s="88"/>
      <c r="E8" s="88"/>
      <c r="F8" s="88"/>
      <c r="G8" s="88"/>
      <c r="H8" s="422" t="str">
        <f>+'SWEPCO TCOS'!F8</f>
        <v>SOUTHWESTERN ELECTRIC POWER COMPANY</v>
      </c>
      <c r="I8" s="88"/>
      <c r="J8" s="88"/>
      <c r="K8" s="88"/>
    </row>
    <row r="9" spans="1:23" ht="12.5"/>
    <row r="10" spans="1:23" ht="12.5">
      <c r="A10" t="s">
        <v>697</v>
      </c>
    </row>
    <row r="13" spans="1:23" ht="24.75" customHeight="1" thickBot="1">
      <c r="A13" s="203" t="s">
        <v>301</v>
      </c>
      <c r="B13" s="203" t="s">
        <v>302</v>
      </c>
      <c r="C13" s="423" t="s">
        <v>47</v>
      </c>
      <c r="D13" s="203" t="s">
        <v>304</v>
      </c>
      <c r="E13" s="203" t="s">
        <v>229</v>
      </c>
      <c r="F13" s="203" t="s">
        <v>230</v>
      </c>
      <c r="G13" s="203" t="str">
        <f>"(G) = "&amp;E13&amp;" + "&amp;F13</f>
        <v>(G) = (E) + (F)</v>
      </c>
      <c r="H13" s="203"/>
      <c r="I13" s="203" t="s">
        <v>236</v>
      </c>
      <c r="J13" s="203" t="s">
        <v>177</v>
      </c>
      <c r="K13" s="203" t="str">
        <f>"(J) = "&amp;I13&amp;" - "&amp;J13</f>
        <v>(J) = (H) - (I)</v>
      </c>
      <c r="L13" s="203"/>
      <c r="M13" s="203" t="s">
        <v>881</v>
      </c>
      <c r="N13" s="203" t="s">
        <v>556</v>
      </c>
      <c r="O13" s="203" t="str">
        <f>"(M) = "&amp;M13&amp;"-"&amp;N13</f>
        <v>(M) = (K)-(L)</v>
      </c>
      <c r="P13" s="203" t="s">
        <v>882</v>
      </c>
      <c r="Q13" s="203" t="s">
        <v>558</v>
      </c>
      <c r="R13" s="203" t="str">
        <f>"(P) = "&amp;LEFT(K13,3)&amp;"+ "&amp;LEFT(P13,3)&amp;"+"&amp;LEFT(O13,3)&amp;"+"&amp;Q13</f>
        <v>(P) = (J)+ (N)+(M)+(O)</v>
      </c>
      <c r="S13" s="203"/>
      <c r="T13" s="203" t="str">
        <f>"(Q) = "&amp;LEFT(G13,3)&amp;" + "&amp;LEFT(R13,3)</f>
        <v>(Q) = (G) + (P)</v>
      </c>
      <c r="U13" s="203"/>
      <c r="V13" s="204"/>
      <c r="W13" s="204"/>
    </row>
    <row r="14" spans="1:23" ht="16.5" customHeight="1" thickBot="1">
      <c r="A14" s="424"/>
      <c r="B14" s="425"/>
      <c r="C14" s="425"/>
      <c r="D14" s="425"/>
      <c r="E14" s="2261" t="str">
        <f>"Projected ARR For "&amp;U2+1&amp;" From WS-F"</f>
        <v>Projected ARR For 2025 From WS-F</v>
      </c>
      <c r="F14" s="2261"/>
      <c r="G14" s="2261"/>
      <c r="H14" s="425"/>
      <c r="I14" s="2261" t="str">
        <f>"True Up ARR For "&amp;U2&amp;" From WS-G"</f>
        <v>True Up ARR For 2024 From WS-G</v>
      </c>
      <c r="J14" s="2261"/>
      <c r="K14" s="2261"/>
      <c r="L14" s="426"/>
      <c r="M14" s="426" t="s">
        <v>560</v>
      </c>
      <c r="N14" s="427"/>
      <c r="O14" s="427"/>
      <c r="P14" s="428"/>
      <c r="Q14" s="429"/>
      <c r="R14" s="430"/>
      <c r="S14" s="425"/>
      <c r="T14" s="431"/>
      <c r="U14" s="2197"/>
    </row>
    <row r="15" spans="1:23" ht="86.5" customHeight="1" thickBot="1">
      <c r="A15" s="432" t="s">
        <v>561</v>
      </c>
      <c r="B15" s="433" t="s">
        <v>562</v>
      </c>
      <c r="C15" s="433" t="s">
        <v>563</v>
      </c>
      <c r="D15" s="433" t="s">
        <v>564</v>
      </c>
      <c r="E15" s="433" t="s">
        <v>559</v>
      </c>
      <c r="F15" s="433" t="s">
        <v>565</v>
      </c>
      <c r="G15" s="433" t="s">
        <v>258</v>
      </c>
      <c r="H15" s="433"/>
      <c r="I15" s="433" t="s">
        <v>953</v>
      </c>
      <c r="J15" s="433" t="s">
        <v>954</v>
      </c>
      <c r="K15" s="433" t="s">
        <v>951</v>
      </c>
      <c r="L15" s="433"/>
      <c r="M15" s="433" t="s">
        <v>566</v>
      </c>
      <c r="N15" s="433" t="s">
        <v>955</v>
      </c>
      <c r="O15" s="433" t="s">
        <v>951</v>
      </c>
      <c r="P15" s="433" t="s">
        <v>965</v>
      </c>
      <c r="Q15" s="433" t="s">
        <v>952</v>
      </c>
      <c r="R15" s="433" t="s">
        <v>966</v>
      </c>
      <c r="S15" s="434"/>
      <c r="T15" s="435" t="str">
        <f>"Total ADJUSTED Revenue Requirement Effective
1/1/"&amp;U2&amp;""</f>
        <v>Total ADJUSTED Revenue Requirement Effective
1/1/2024</v>
      </c>
      <c r="U15" s="2198" t="s">
        <v>1918</v>
      </c>
      <c r="V15" s="436" t="s">
        <v>692</v>
      </c>
    </row>
    <row r="16" spans="1:23" ht="13">
      <c r="A16" s="437"/>
      <c r="B16" s="212"/>
      <c r="C16" s="212"/>
      <c r="E16" s="561"/>
      <c r="F16" s="561"/>
      <c r="G16" s="561"/>
      <c r="I16" s="561"/>
      <c r="J16" s="561"/>
      <c r="K16" s="561"/>
      <c r="L16" s="561"/>
      <c r="M16" s="561"/>
      <c r="N16" s="561"/>
      <c r="O16" s="561"/>
      <c r="P16" s="561"/>
      <c r="Q16" s="561"/>
      <c r="R16" s="561"/>
      <c r="T16" s="562"/>
      <c r="V16" s="563"/>
    </row>
    <row r="17" spans="1:23" ht="13">
      <c r="A17" s="1793" t="s">
        <v>1081</v>
      </c>
      <c r="B17" s="203" t="s">
        <v>1082</v>
      </c>
      <c r="C17" s="684" t="s">
        <v>1153</v>
      </c>
      <c r="D17" s="420">
        <v>2009</v>
      </c>
      <c r="E17" s="520">
        <v>0</v>
      </c>
      <c r="F17" s="521">
        <v>0</v>
      </c>
      <c r="G17" s="521">
        <v>0</v>
      </c>
      <c r="H17" s="204"/>
      <c r="I17" s="520">
        <v>69403.562212312827</v>
      </c>
      <c r="J17" s="522">
        <v>1724572.3136340098</v>
      </c>
      <c r="K17" s="522">
        <v>1837835.9859255636</v>
      </c>
      <c r="L17" s="523">
        <v>-116504.90230644471</v>
      </c>
      <c r="M17" s="524"/>
      <c r="N17" s="524">
        <v>0</v>
      </c>
      <c r="O17" s="524">
        <v>0</v>
      </c>
      <c r="P17" s="520">
        <v>0</v>
      </c>
      <c r="Q17" s="520">
        <v>34776.634327758402</v>
      </c>
      <c r="R17" s="525">
        <v>-9083.4757514825833</v>
      </c>
      <c r="S17" s="525"/>
      <c r="T17" s="526">
        <v>-9083.4757514825833</v>
      </c>
      <c r="U17" s="2239">
        <v>0</v>
      </c>
      <c r="V17" s="527">
        <v>-43860.110079240985</v>
      </c>
      <c r="W17" t="s">
        <v>1081</v>
      </c>
    </row>
    <row r="18" spans="1:23" ht="13">
      <c r="A18" s="1793" t="s">
        <v>1083</v>
      </c>
      <c r="B18" s="203" t="s">
        <v>1082</v>
      </c>
      <c r="C18" s="684" t="s">
        <v>1154</v>
      </c>
      <c r="D18" s="420">
        <v>2009</v>
      </c>
      <c r="E18" s="520">
        <v>0</v>
      </c>
      <c r="F18" s="521">
        <v>0</v>
      </c>
      <c r="G18" s="521">
        <v>0</v>
      </c>
      <c r="H18" s="204"/>
      <c r="I18" s="520">
        <v>43130.401115760673</v>
      </c>
      <c r="J18" s="522">
        <v>797204.76821332367</v>
      </c>
      <c r="K18" s="522">
        <v>849562.29413574236</v>
      </c>
      <c r="L18" s="523">
        <v>-53825.80091640912</v>
      </c>
      <c r="M18" s="524"/>
      <c r="N18" s="524">
        <v>0</v>
      </c>
      <c r="O18" s="524">
        <v>0</v>
      </c>
      <c r="P18" s="520">
        <v>0</v>
      </c>
      <c r="Q18" s="520">
        <v>7316.1773811783223</v>
      </c>
      <c r="R18" s="525">
        <v>-1910.9474254796933</v>
      </c>
      <c r="S18" s="525"/>
      <c r="T18" s="528">
        <v>-1910.9474254796933</v>
      </c>
      <c r="U18" s="2239">
        <v>0</v>
      </c>
      <c r="V18" s="527">
        <v>-9227.1248066580156</v>
      </c>
      <c r="W18" t="s">
        <v>1083</v>
      </c>
    </row>
    <row r="19" spans="1:23" ht="25">
      <c r="A19" s="1793" t="s">
        <v>1084</v>
      </c>
      <c r="B19" s="203" t="s">
        <v>1082</v>
      </c>
      <c r="C19" s="439" t="s">
        <v>1155</v>
      </c>
      <c r="D19" s="420">
        <v>2009</v>
      </c>
      <c r="E19" s="520">
        <v>0</v>
      </c>
      <c r="F19" s="521">
        <v>0</v>
      </c>
      <c r="G19" s="521">
        <v>0</v>
      </c>
      <c r="H19" s="204"/>
      <c r="I19" s="520">
        <v>36943.373977809446</v>
      </c>
      <c r="J19" s="522">
        <v>1320873.7436954326</v>
      </c>
      <c r="K19" s="522">
        <v>1407623.9539717336</v>
      </c>
      <c r="L19" s="523">
        <v>-89512.577903115656</v>
      </c>
      <c r="M19" s="524"/>
      <c r="N19" s="524">
        <v>0</v>
      </c>
      <c r="O19" s="524">
        <v>0</v>
      </c>
      <c r="P19" s="520">
        <v>0</v>
      </c>
      <c r="Q19" s="520">
        <v>39491.787180784479</v>
      </c>
      <c r="R19" s="525">
        <v>-10315.049117707094</v>
      </c>
      <c r="S19" s="525"/>
      <c r="T19" s="528">
        <v>-10315.049117707094</v>
      </c>
      <c r="U19" s="2239">
        <v>0</v>
      </c>
      <c r="V19" s="527">
        <v>-49806.836298491573</v>
      </c>
      <c r="W19" t="s">
        <v>1084</v>
      </c>
    </row>
    <row r="20" spans="1:23" ht="13">
      <c r="A20" s="1793" t="s">
        <v>1085</v>
      </c>
      <c r="B20" s="203" t="s">
        <v>1082</v>
      </c>
      <c r="C20" s="439" t="s">
        <v>1156</v>
      </c>
      <c r="D20" s="420">
        <v>2009</v>
      </c>
      <c r="E20" s="520">
        <v>0</v>
      </c>
      <c r="F20" s="521">
        <v>0</v>
      </c>
      <c r="G20" s="521">
        <v>0</v>
      </c>
      <c r="H20" s="204"/>
      <c r="I20" s="520">
        <v>34459.312935068738</v>
      </c>
      <c r="J20" s="522">
        <v>1111532.4752028445</v>
      </c>
      <c r="K20" s="522">
        <v>1184533.908089997</v>
      </c>
      <c r="L20" s="523">
        <v>-75292.97221052018</v>
      </c>
      <c r="M20" s="524"/>
      <c r="N20" s="524">
        <v>0</v>
      </c>
      <c r="O20" s="524">
        <v>0</v>
      </c>
      <c r="P20" s="520">
        <v>0</v>
      </c>
      <c r="Q20" s="520">
        <v>30560.005649065053</v>
      </c>
      <c r="R20" s="525">
        <v>-7982.114303018745</v>
      </c>
      <c r="S20" s="525"/>
      <c r="T20" s="528">
        <v>-7982.114303018745</v>
      </c>
      <c r="U20" s="2239">
        <v>0</v>
      </c>
      <c r="V20" s="527">
        <v>-38542.119952083798</v>
      </c>
      <c r="W20" t="s">
        <v>1085</v>
      </c>
    </row>
    <row r="21" spans="1:23" ht="25">
      <c r="A21" s="1793" t="s">
        <v>1086</v>
      </c>
      <c r="B21" s="203" t="s">
        <v>1082</v>
      </c>
      <c r="C21" s="439" t="s">
        <v>1157</v>
      </c>
      <c r="D21" s="420">
        <v>2009</v>
      </c>
      <c r="E21" s="520">
        <v>0</v>
      </c>
      <c r="F21" s="521">
        <v>0</v>
      </c>
      <c r="G21" s="521">
        <v>0</v>
      </c>
      <c r="H21" s="204"/>
      <c r="I21" s="520">
        <v>11672.404634500446</v>
      </c>
      <c r="J21" s="522">
        <v>290997.32936105318</v>
      </c>
      <c r="K21" s="522">
        <v>310108.98150222423</v>
      </c>
      <c r="L21" s="523">
        <v>-19658.996553021017</v>
      </c>
      <c r="M21" s="524"/>
      <c r="N21" s="524">
        <v>0</v>
      </c>
      <c r="O21" s="524">
        <v>0</v>
      </c>
      <c r="P21" s="520">
        <v>0</v>
      </c>
      <c r="Q21" s="520">
        <v>5898.5713840152966</v>
      </c>
      <c r="R21" s="525">
        <v>-1540.676122655299</v>
      </c>
      <c r="S21" s="525"/>
      <c r="T21" s="528">
        <v>-1540.676122655299</v>
      </c>
      <c r="U21" s="2239">
        <v>0</v>
      </c>
      <c r="V21" s="527">
        <v>-7439.2475066705956</v>
      </c>
      <c r="W21" t="s">
        <v>1086</v>
      </c>
    </row>
    <row r="22" spans="1:23" ht="13">
      <c r="A22" s="1793" t="s">
        <v>1087</v>
      </c>
      <c r="B22" s="203" t="s">
        <v>1082</v>
      </c>
      <c r="C22" s="439" t="s">
        <v>1158</v>
      </c>
      <c r="D22" s="420">
        <v>2009</v>
      </c>
      <c r="E22" s="520">
        <v>0</v>
      </c>
      <c r="F22" s="521">
        <v>0</v>
      </c>
      <c r="G22" s="521">
        <v>0</v>
      </c>
      <c r="H22" s="204"/>
      <c r="I22" s="520">
        <v>185172.42471709382</v>
      </c>
      <c r="J22" s="522">
        <v>3762394.7498268569</v>
      </c>
      <c r="K22" s="522">
        <v>4009495.2295265957</v>
      </c>
      <c r="L22" s="523">
        <v>-253122.10768893966</v>
      </c>
      <c r="M22" s="524"/>
      <c r="N22" s="524">
        <v>0</v>
      </c>
      <c r="O22" s="524">
        <v>0</v>
      </c>
      <c r="P22" s="520">
        <v>0</v>
      </c>
      <c r="Q22" s="520">
        <v>49102.688499181044</v>
      </c>
      <c r="R22" s="525">
        <v>-12825.366483463928</v>
      </c>
      <c r="S22" s="525"/>
      <c r="T22" s="528">
        <v>-12825.366483463928</v>
      </c>
      <c r="U22" s="2240">
        <v>0</v>
      </c>
      <c r="V22" s="527">
        <v>-61928.054982644971</v>
      </c>
      <c r="W22" t="s">
        <v>1087</v>
      </c>
    </row>
    <row r="23" spans="1:23" ht="13">
      <c r="A23" s="1793" t="s">
        <v>1088</v>
      </c>
      <c r="B23" s="203" t="s">
        <v>1082</v>
      </c>
      <c r="C23" s="439" t="s">
        <v>1159</v>
      </c>
      <c r="D23" s="420">
        <v>2009</v>
      </c>
      <c r="E23" s="520">
        <v>0</v>
      </c>
      <c r="F23" s="521">
        <v>0</v>
      </c>
      <c r="G23" s="521">
        <v>0</v>
      </c>
      <c r="H23" s="204"/>
      <c r="I23" s="520">
        <v>318.30637676733386</v>
      </c>
      <c r="J23" s="522">
        <v>7472.9272713136133</v>
      </c>
      <c r="K23" s="522">
        <v>7963.7221071260528</v>
      </c>
      <c r="L23" s="523">
        <v>-505.1359992117923</v>
      </c>
      <c r="M23" s="524"/>
      <c r="N23" s="524">
        <v>0</v>
      </c>
      <c r="O23" s="524">
        <v>0</v>
      </c>
      <c r="P23" s="520">
        <v>0</v>
      </c>
      <c r="Q23" s="520">
        <v>136.76591452079589</v>
      </c>
      <c r="R23" s="525">
        <v>-35.72254452430974</v>
      </c>
      <c r="S23" s="564" t="s">
        <v>82</v>
      </c>
      <c r="T23" s="528">
        <v>-35.72254452430974</v>
      </c>
      <c r="U23" s="2240">
        <v>0</v>
      </c>
      <c r="V23" s="527">
        <v>-172.48845904510563</v>
      </c>
      <c r="W23" t="s">
        <v>1088</v>
      </c>
    </row>
    <row r="24" spans="1:23" ht="25">
      <c r="A24" s="1793" t="s">
        <v>1089</v>
      </c>
      <c r="B24" s="203" t="s">
        <v>1082</v>
      </c>
      <c r="C24" s="439" t="s">
        <v>1160</v>
      </c>
      <c r="D24" s="420">
        <v>2008</v>
      </c>
      <c r="E24" s="520">
        <v>0</v>
      </c>
      <c r="F24" s="521">
        <v>0</v>
      </c>
      <c r="G24" s="521">
        <v>0</v>
      </c>
      <c r="H24" s="204"/>
      <c r="I24" s="520">
        <v>45318.196366184857</v>
      </c>
      <c r="J24" s="522">
        <v>914886.47750643222</v>
      </c>
      <c r="K24" s="522">
        <v>974972.91247529001</v>
      </c>
      <c r="L24" s="523">
        <v>-61826.049438867252</v>
      </c>
      <c r="M24" s="524"/>
      <c r="N24" s="524">
        <v>0</v>
      </c>
      <c r="O24" s="524">
        <v>0</v>
      </c>
      <c r="P24" s="520">
        <v>0</v>
      </c>
      <c r="Q24" s="520">
        <v>11709.720578045808</v>
      </c>
      <c r="R24" s="525">
        <v>-3058.5180246271284</v>
      </c>
      <c r="S24" s="525"/>
      <c r="T24" s="528">
        <v>-3058.5180246271284</v>
      </c>
      <c r="U24" s="2240">
        <v>0</v>
      </c>
      <c r="V24" s="527">
        <v>-14768.238602672936</v>
      </c>
      <c r="W24" t="s">
        <v>1089</v>
      </c>
    </row>
    <row r="25" spans="1:23" ht="25">
      <c r="A25" s="1793" t="s">
        <v>1090</v>
      </c>
      <c r="B25" s="203" t="s">
        <v>1082</v>
      </c>
      <c r="C25" s="439" t="s">
        <v>1161</v>
      </c>
      <c r="D25" s="420">
        <v>2008</v>
      </c>
      <c r="E25" s="520">
        <v>0</v>
      </c>
      <c r="F25" s="521">
        <v>0</v>
      </c>
      <c r="G25" s="521">
        <v>0</v>
      </c>
      <c r="H25" s="204"/>
      <c r="I25" s="520">
        <v>7339.7310587001848</v>
      </c>
      <c r="J25" s="522">
        <v>265324.94678750704</v>
      </c>
      <c r="K25" s="522">
        <v>282750.52969066141</v>
      </c>
      <c r="L25" s="523">
        <v>-18007.001427779091</v>
      </c>
      <c r="M25" s="524"/>
      <c r="N25" s="524">
        <v>0</v>
      </c>
      <c r="O25" s="524">
        <v>0</v>
      </c>
      <c r="P25" s="520">
        <v>0</v>
      </c>
      <c r="Q25" s="520">
        <v>7997.0611301439003</v>
      </c>
      <c r="R25" s="525">
        <v>-2088.7907143102839</v>
      </c>
      <c r="S25" s="525"/>
      <c r="T25" s="528">
        <v>-2088.7907143102839</v>
      </c>
      <c r="U25" s="2240">
        <v>0</v>
      </c>
      <c r="V25" s="527">
        <v>-10085.851844454184</v>
      </c>
      <c r="W25" t="s">
        <v>1090</v>
      </c>
    </row>
    <row r="26" spans="1:23" ht="13">
      <c r="A26" s="1793" t="s">
        <v>1091</v>
      </c>
      <c r="B26" s="203" t="s">
        <v>1082</v>
      </c>
      <c r="C26" s="684" t="s">
        <v>1162</v>
      </c>
      <c r="D26" s="420">
        <v>2008</v>
      </c>
      <c r="E26" s="520">
        <v>0</v>
      </c>
      <c r="F26" s="521">
        <v>0</v>
      </c>
      <c r="G26" s="521">
        <v>0</v>
      </c>
      <c r="H26" s="204"/>
      <c r="I26" s="520">
        <v>0</v>
      </c>
      <c r="J26" s="522">
        <v>0</v>
      </c>
      <c r="K26" s="522">
        <v>0</v>
      </c>
      <c r="L26" s="523">
        <v>0</v>
      </c>
      <c r="M26" s="524"/>
      <c r="N26" s="524">
        <v>0</v>
      </c>
      <c r="O26" s="524">
        <v>0</v>
      </c>
      <c r="P26" s="520">
        <v>0</v>
      </c>
      <c r="Q26" s="520">
        <v>0</v>
      </c>
      <c r="R26" s="525">
        <v>0</v>
      </c>
      <c r="S26" s="525"/>
      <c r="T26" s="528">
        <v>0</v>
      </c>
      <c r="U26" s="2240">
        <v>0</v>
      </c>
      <c r="V26" s="527">
        <v>0</v>
      </c>
      <c r="W26" t="s">
        <v>1091</v>
      </c>
    </row>
    <row r="27" spans="1:23" ht="13">
      <c r="A27" s="1793" t="s">
        <v>1092</v>
      </c>
      <c r="B27" s="203" t="s">
        <v>1082</v>
      </c>
      <c r="C27" s="684" t="s">
        <v>1163</v>
      </c>
      <c r="D27" s="420">
        <v>2007</v>
      </c>
      <c r="E27" s="520">
        <v>0</v>
      </c>
      <c r="F27" s="521">
        <v>0</v>
      </c>
      <c r="G27" s="521">
        <v>0</v>
      </c>
      <c r="H27" s="204"/>
      <c r="I27" s="520">
        <v>0</v>
      </c>
      <c r="J27" s="522">
        <v>0</v>
      </c>
      <c r="K27" s="522">
        <v>0</v>
      </c>
      <c r="L27" s="523">
        <v>0</v>
      </c>
      <c r="M27" s="524"/>
      <c r="N27" s="524">
        <v>0</v>
      </c>
      <c r="O27" s="524">
        <v>0</v>
      </c>
      <c r="P27" s="520">
        <v>0</v>
      </c>
      <c r="Q27" s="520">
        <v>0</v>
      </c>
      <c r="R27" s="525">
        <v>0</v>
      </c>
      <c r="S27" s="525"/>
      <c r="T27" s="528">
        <v>0</v>
      </c>
      <c r="U27" s="2240">
        <v>0</v>
      </c>
      <c r="V27" s="527">
        <v>0</v>
      </c>
      <c r="W27" t="s">
        <v>1092</v>
      </c>
    </row>
    <row r="28" spans="1:23" ht="25">
      <c r="A28" s="1793" t="s">
        <v>1093</v>
      </c>
      <c r="B28" s="203" t="s">
        <v>1082</v>
      </c>
      <c r="C28" s="439" t="s">
        <v>1164</v>
      </c>
      <c r="D28" s="420">
        <v>2007</v>
      </c>
      <c r="E28" s="520">
        <v>0</v>
      </c>
      <c r="F28" s="521">
        <v>0</v>
      </c>
      <c r="G28" s="521">
        <v>0</v>
      </c>
      <c r="H28" s="204"/>
      <c r="I28" s="520">
        <v>345.39986771280383</v>
      </c>
      <c r="J28" s="522">
        <v>17177.126390217603</v>
      </c>
      <c r="K28" s="522">
        <v>18305.257926941958</v>
      </c>
      <c r="L28" s="523">
        <v>-1168.4380383891694</v>
      </c>
      <c r="M28" s="524"/>
      <c r="N28" s="524">
        <v>0</v>
      </c>
      <c r="O28" s="524">
        <v>0</v>
      </c>
      <c r="P28" s="520">
        <v>0</v>
      </c>
      <c r="Q28" s="520">
        <v>620.62710241245725</v>
      </c>
      <c r="R28" s="525">
        <v>-162.10456659909403</v>
      </c>
      <c r="S28" s="525"/>
      <c r="T28" s="528">
        <v>-162.10456659909403</v>
      </c>
      <c r="U28" s="2240">
        <v>0</v>
      </c>
      <c r="V28" s="527">
        <v>-782.73166901155128</v>
      </c>
      <c r="W28" t="s">
        <v>1093</v>
      </c>
    </row>
    <row r="29" spans="1:23" ht="13">
      <c r="A29" s="1793" t="s">
        <v>1094</v>
      </c>
      <c r="B29" s="203" t="s">
        <v>1082</v>
      </c>
      <c r="C29" s="439" t="s">
        <v>1165</v>
      </c>
      <c r="D29" s="420">
        <v>2006</v>
      </c>
      <c r="E29" s="520">
        <v>0</v>
      </c>
      <c r="F29" s="521">
        <v>0</v>
      </c>
      <c r="G29" s="521">
        <v>0</v>
      </c>
      <c r="H29" s="204"/>
      <c r="I29" s="520">
        <v>24552.502759077004</v>
      </c>
      <c r="J29" s="522">
        <v>538411.20651302708</v>
      </c>
      <c r="K29" s="522">
        <v>573772.10728273145</v>
      </c>
      <c r="L29" s="523">
        <v>-36815.397982402821</v>
      </c>
      <c r="M29" s="524"/>
      <c r="N29" s="524">
        <v>0</v>
      </c>
      <c r="O29" s="524">
        <v>0</v>
      </c>
      <c r="P29" s="520">
        <v>0</v>
      </c>
      <c r="Q29" s="520">
        <v>8569.9672117868977</v>
      </c>
      <c r="R29" s="525">
        <v>-2238.4307988404689</v>
      </c>
      <c r="S29" s="525"/>
      <c r="T29" s="528">
        <v>-2238.4307988404689</v>
      </c>
      <c r="U29" s="2240">
        <v>0</v>
      </c>
      <c r="V29" s="527">
        <v>-10808.398010627367</v>
      </c>
      <c r="W29" t="s">
        <v>1094</v>
      </c>
    </row>
    <row r="30" spans="1:23" ht="13">
      <c r="A30" s="1793" t="s">
        <v>1095</v>
      </c>
      <c r="B30" s="203" t="s">
        <v>1082</v>
      </c>
      <c r="C30" s="684" t="s">
        <v>1166</v>
      </c>
      <c r="D30" s="420">
        <v>2007</v>
      </c>
      <c r="E30" s="520">
        <v>0</v>
      </c>
      <c r="F30" s="521">
        <v>0</v>
      </c>
      <c r="G30" s="521">
        <v>0</v>
      </c>
      <c r="H30" s="204"/>
      <c r="I30" s="520">
        <v>299.88106218072244</v>
      </c>
      <c r="J30" s="522">
        <v>7634.2727089542568</v>
      </c>
      <c r="K30" s="522">
        <v>8135.664129572212</v>
      </c>
      <c r="L30" s="523">
        <v>-517.31223186063471</v>
      </c>
      <c r="M30" s="524"/>
      <c r="N30" s="524">
        <v>0</v>
      </c>
      <c r="O30" s="524">
        <v>0</v>
      </c>
      <c r="P30" s="520">
        <v>0</v>
      </c>
      <c r="Q30" s="520">
        <v>159.77734747966329</v>
      </c>
      <c r="R30" s="525">
        <v>-41.733010957569462</v>
      </c>
      <c r="S30" s="564" t="s">
        <v>82</v>
      </c>
      <c r="T30" s="528">
        <v>-41.733010957569462</v>
      </c>
      <c r="U30" s="2240">
        <v>0</v>
      </c>
      <c r="V30" s="527">
        <v>-201.51035843723275</v>
      </c>
      <c r="W30" t="s">
        <v>1095</v>
      </c>
    </row>
    <row r="31" spans="1:23" ht="13">
      <c r="A31" s="1793" t="s">
        <v>1096</v>
      </c>
      <c r="B31" s="203" t="s">
        <v>1082</v>
      </c>
      <c r="C31" s="439" t="s">
        <v>1167</v>
      </c>
      <c r="D31" s="420">
        <v>2007</v>
      </c>
      <c r="E31" s="520">
        <v>0</v>
      </c>
      <c r="F31" s="521">
        <v>0</v>
      </c>
      <c r="G31" s="521">
        <v>0</v>
      </c>
      <c r="H31" s="204"/>
      <c r="I31" s="520">
        <v>965.21362266707001</v>
      </c>
      <c r="J31" s="522">
        <v>33187.736206797235</v>
      </c>
      <c r="K31" s="522">
        <v>35367.38669063479</v>
      </c>
      <c r="L31" s="523">
        <v>-2260.1097042683614</v>
      </c>
      <c r="M31" s="524"/>
      <c r="N31" s="524">
        <v>0</v>
      </c>
      <c r="O31" s="524">
        <v>0</v>
      </c>
      <c r="P31" s="520">
        <v>0</v>
      </c>
      <c r="Q31" s="520">
        <v>962.92568711691501</v>
      </c>
      <c r="R31" s="525">
        <v>-251.5111740535699</v>
      </c>
      <c r="S31" s="525"/>
      <c r="T31" s="528">
        <v>-251.5111740535699</v>
      </c>
      <c r="U31" s="2240">
        <v>0</v>
      </c>
      <c r="V31" s="527">
        <v>-1214.4368611704849</v>
      </c>
      <c r="W31" t="s">
        <v>1096</v>
      </c>
    </row>
    <row r="32" spans="1:23" ht="13">
      <c r="A32" s="1793" t="s">
        <v>1097</v>
      </c>
      <c r="B32" s="203" t="s">
        <v>1082</v>
      </c>
      <c r="C32" s="439" t="s">
        <v>1168</v>
      </c>
      <c r="D32" s="420">
        <v>2008</v>
      </c>
      <c r="E32" s="520">
        <v>0</v>
      </c>
      <c r="F32" s="521">
        <v>0</v>
      </c>
      <c r="G32" s="521">
        <v>0</v>
      </c>
      <c r="H32" s="204"/>
      <c r="I32" s="520">
        <v>2160.6537322540244</v>
      </c>
      <c r="J32" s="522">
        <v>37956.294353926591</v>
      </c>
      <c r="K32" s="522">
        <v>40449.126490403331</v>
      </c>
      <c r="L32" s="523">
        <v>-2556.882528898037</v>
      </c>
      <c r="M32" s="524"/>
      <c r="N32" s="524">
        <v>0</v>
      </c>
      <c r="O32" s="524">
        <v>0</v>
      </c>
      <c r="P32" s="520">
        <v>0</v>
      </c>
      <c r="Q32" s="520">
        <v>263.38390109739566</v>
      </c>
      <c r="R32" s="525">
        <v>-68.794503125319807</v>
      </c>
      <c r="S32" s="525"/>
      <c r="T32" s="528">
        <v>-68.794503125319807</v>
      </c>
      <c r="U32" s="2240">
        <v>0</v>
      </c>
      <c r="V32" s="527">
        <v>-332.17840422271547</v>
      </c>
      <c r="W32" t="s">
        <v>1097</v>
      </c>
    </row>
    <row r="33" spans="1:23" ht="13">
      <c r="A33" s="1793" t="s">
        <v>1098</v>
      </c>
      <c r="B33" s="203" t="s">
        <v>1082</v>
      </c>
      <c r="C33" s="439" t="s">
        <v>1169</v>
      </c>
      <c r="D33" s="420">
        <v>2008</v>
      </c>
      <c r="E33" s="520">
        <v>0</v>
      </c>
      <c r="F33" s="521">
        <v>0</v>
      </c>
      <c r="G33" s="521">
        <v>0</v>
      </c>
      <c r="H33" s="204"/>
      <c r="I33" s="520">
        <v>5357.161750061874</v>
      </c>
      <c r="J33" s="522">
        <v>182085.88168060721</v>
      </c>
      <c r="K33" s="522">
        <v>194044.62383861668</v>
      </c>
      <c r="L33" s="523">
        <v>-12360.111481700151</v>
      </c>
      <c r="M33" s="524"/>
      <c r="N33" s="524">
        <v>0</v>
      </c>
      <c r="O33" s="524">
        <v>0</v>
      </c>
      <c r="P33" s="520">
        <v>0</v>
      </c>
      <c r="Q33" s="520">
        <v>5234.3860381952918</v>
      </c>
      <c r="R33" s="525">
        <v>-1367.1943697523011</v>
      </c>
      <c r="S33" s="525"/>
      <c r="T33" s="528">
        <v>-1367.1943697523011</v>
      </c>
      <c r="U33" s="2240">
        <v>0</v>
      </c>
      <c r="V33" s="527">
        <v>-6601.5804079475929</v>
      </c>
      <c r="W33" t="s">
        <v>1098</v>
      </c>
    </row>
    <row r="34" spans="1:23" ht="13">
      <c r="A34" s="1793" t="s">
        <v>1099</v>
      </c>
      <c r="B34" s="203" t="s">
        <v>1082</v>
      </c>
      <c r="C34" s="439" t="s">
        <v>1170</v>
      </c>
      <c r="D34" s="420">
        <v>2009</v>
      </c>
      <c r="E34" s="520">
        <v>0</v>
      </c>
      <c r="F34" s="521">
        <v>0</v>
      </c>
      <c r="G34" s="521">
        <v>0</v>
      </c>
      <c r="H34" s="204"/>
      <c r="I34" s="520">
        <v>0</v>
      </c>
      <c r="J34" s="522">
        <v>0</v>
      </c>
      <c r="K34" s="522">
        <v>0</v>
      </c>
      <c r="L34" s="523">
        <v>0</v>
      </c>
      <c r="M34" s="524"/>
      <c r="N34" s="524">
        <v>0</v>
      </c>
      <c r="O34" s="524">
        <v>0</v>
      </c>
      <c r="P34" s="520">
        <v>0</v>
      </c>
      <c r="Q34" s="520">
        <v>0</v>
      </c>
      <c r="R34" s="525">
        <v>0</v>
      </c>
      <c r="S34" s="525"/>
      <c r="T34" s="528">
        <v>0</v>
      </c>
      <c r="U34" s="2240">
        <v>0</v>
      </c>
      <c r="V34" s="527">
        <v>0</v>
      </c>
      <c r="W34" t="s">
        <v>1099</v>
      </c>
    </row>
    <row r="35" spans="1:23" ht="13">
      <c r="A35" s="1793" t="s">
        <v>1100</v>
      </c>
      <c r="B35" s="203" t="s">
        <v>1082</v>
      </c>
      <c r="C35" s="439" t="s">
        <v>1171</v>
      </c>
      <c r="D35" s="420">
        <v>2008</v>
      </c>
      <c r="E35" s="520">
        <v>0</v>
      </c>
      <c r="F35" s="521">
        <v>0</v>
      </c>
      <c r="G35" s="521">
        <v>0</v>
      </c>
      <c r="H35" s="204"/>
      <c r="I35" s="520">
        <v>12324.714845732902</v>
      </c>
      <c r="J35" s="522">
        <v>417875.17647630465</v>
      </c>
      <c r="K35" s="522">
        <v>445319.706736363</v>
      </c>
      <c r="L35" s="523">
        <v>-28374.766107733536</v>
      </c>
      <c r="M35" s="524"/>
      <c r="N35" s="524">
        <v>0</v>
      </c>
      <c r="O35" s="524">
        <v>0</v>
      </c>
      <c r="P35" s="520">
        <v>0</v>
      </c>
      <c r="Q35" s="520">
        <v>11988.485455627488</v>
      </c>
      <c r="R35" s="525">
        <v>-3131.3299586979629</v>
      </c>
      <c r="S35" s="525"/>
      <c r="T35" s="528">
        <v>-3131.3299586979629</v>
      </c>
      <c r="U35" s="2240">
        <v>0</v>
      </c>
      <c r="V35" s="527">
        <v>-15119.815414325451</v>
      </c>
      <c r="W35" t="s">
        <v>1100</v>
      </c>
    </row>
    <row r="36" spans="1:23" ht="25">
      <c r="A36" s="1793" t="s">
        <v>1101</v>
      </c>
      <c r="B36" s="203" t="s">
        <v>1082</v>
      </c>
      <c r="C36" s="439" t="s">
        <v>1172</v>
      </c>
      <c r="D36" s="420">
        <v>2008</v>
      </c>
      <c r="E36" s="520">
        <v>0</v>
      </c>
      <c r="F36" s="521">
        <v>0</v>
      </c>
      <c r="G36" s="521">
        <v>0</v>
      </c>
      <c r="H36" s="204"/>
      <c r="I36" s="520">
        <v>0</v>
      </c>
      <c r="J36" s="522">
        <v>0</v>
      </c>
      <c r="K36" s="522">
        <v>0</v>
      </c>
      <c r="L36" s="523">
        <v>0</v>
      </c>
      <c r="M36" s="524"/>
      <c r="N36" s="524">
        <v>0</v>
      </c>
      <c r="O36" s="524">
        <v>0</v>
      </c>
      <c r="P36" s="520">
        <v>0</v>
      </c>
      <c r="Q36" s="520">
        <v>0</v>
      </c>
      <c r="R36" s="525">
        <v>0</v>
      </c>
      <c r="S36" s="525"/>
      <c r="T36" s="528">
        <v>0</v>
      </c>
      <c r="U36" s="2240">
        <v>0</v>
      </c>
      <c r="V36" s="527">
        <v>0</v>
      </c>
      <c r="W36" t="s">
        <v>1101</v>
      </c>
    </row>
    <row r="37" spans="1:23" ht="13">
      <c r="A37" s="1793" t="s">
        <v>1102</v>
      </c>
      <c r="B37" s="203" t="s">
        <v>1082</v>
      </c>
      <c r="C37" s="439" t="s">
        <v>1173</v>
      </c>
      <c r="D37" s="420">
        <v>2010</v>
      </c>
      <c r="E37" s="520">
        <v>0</v>
      </c>
      <c r="F37" s="521">
        <v>0</v>
      </c>
      <c r="G37" s="521">
        <v>0</v>
      </c>
      <c r="H37" s="204"/>
      <c r="I37" s="520">
        <v>7471.6678474140062</v>
      </c>
      <c r="J37" s="522">
        <v>162814.60407651236</v>
      </c>
      <c r="K37" s="522">
        <v>173507.6784199955</v>
      </c>
      <c r="L37" s="523">
        <v>-10977.330049430951</v>
      </c>
      <c r="M37" s="524"/>
      <c r="N37" s="524">
        <v>0</v>
      </c>
      <c r="O37" s="524">
        <v>0</v>
      </c>
      <c r="P37" s="520">
        <v>0</v>
      </c>
      <c r="Q37" s="520">
        <v>2554.2497620835979</v>
      </c>
      <c r="R37" s="525">
        <v>-667.15673398553417</v>
      </c>
      <c r="S37" s="525"/>
      <c r="T37" s="528">
        <v>-667.15673398553417</v>
      </c>
      <c r="U37" s="2240">
        <v>0</v>
      </c>
      <c r="V37" s="527">
        <v>-3221.4064960691321</v>
      </c>
      <c r="W37" t="s">
        <v>1102</v>
      </c>
    </row>
    <row r="38" spans="1:23" ht="13">
      <c r="A38" s="1793" t="s">
        <v>1103</v>
      </c>
      <c r="B38" s="203" t="s">
        <v>1082</v>
      </c>
      <c r="C38" s="439" t="s">
        <v>1174</v>
      </c>
      <c r="D38" s="420">
        <v>2010</v>
      </c>
      <c r="E38" s="520">
        <v>0</v>
      </c>
      <c r="F38" s="521">
        <v>0</v>
      </c>
      <c r="G38" s="521">
        <v>0</v>
      </c>
      <c r="H38" s="204"/>
      <c r="I38" s="520">
        <v>779.35579154392326</v>
      </c>
      <c r="J38" s="522">
        <v>20369.336718921146</v>
      </c>
      <c r="K38" s="522">
        <v>21707.12108475425</v>
      </c>
      <c r="L38" s="523">
        <v>-1375.3276901946265</v>
      </c>
      <c r="M38" s="524"/>
      <c r="N38" s="524">
        <v>0</v>
      </c>
      <c r="O38" s="524">
        <v>0</v>
      </c>
      <c r="P38" s="520">
        <v>0</v>
      </c>
      <c r="Q38" s="520">
        <v>442.77741873288022</v>
      </c>
      <c r="R38" s="525">
        <v>-115.65115555630047</v>
      </c>
      <c r="S38" s="525"/>
      <c r="T38" s="528">
        <v>-115.65115555630047</v>
      </c>
      <c r="U38" s="2240">
        <v>0</v>
      </c>
      <c r="V38" s="527">
        <v>-558.42857428918069</v>
      </c>
      <c r="W38" t="s">
        <v>1103</v>
      </c>
    </row>
    <row r="39" spans="1:23" ht="25">
      <c r="A39" s="1793" t="s">
        <v>1104</v>
      </c>
      <c r="B39" s="203" t="s">
        <v>1082</v>
      </c>
      <c r="C39" s="439" t="s">
        <v>1175</v>
      </c>
      <c r="D39" s="420">
        <v>2010</v>
      </c>
      <c r="E39" s="520">
        <v>0</v>
      </c>
      <c r="F39" s="521">
        <v>0</v>
      </c>
      <c r="G39" s="521">
        <v>0</v>
      </c>
      <c r="H39" s="204"/>
      <c r="I39" s="520">
        <v>18582.807833940838</v>
      </c>
      <c r="J39" s="522">
        <v>474751.41240136913</v>
      </c>
      <c r="K39" s="522">
        <v>505931.36813246441</v>
      </c>
      <c r="L39" s="523">
        <v>-32048.611455066944</v>
      </c>
      <c r="M39" s="524"/>
      <c r="N39" s="524">
        <v>0</v>
      </c>
      <c r="O39" s="524">
        <v>0</v>
      </c>
      <c r="P39" s="520">
        <v>0</v>
      </c>
      <c r="Q39" s="520">
        <v>9988.2650818830771</v>
      </c>
      <c r="R39" s="525">
        <v>-2608.882815271365</v>
      </c>
      <c r="S39" s="525"/>
      <c r="T39" s="528">
        <v>-2608.882815271365</v>
      </c>
      <c r="U39" s="2240">
        <v>0</v>
      </c>
      <c r="V39" s="527">
        <v>-12597.147897154442</v>
      </c>
      <c r="W39" t="s">
        <v>1104</v>
      </c>
    </row>
    <row r="40" spans="1:23" ht="25">
      <c r="A40" s="1793" t="s">
        <v>1105</v>
      </c>
      <c r="B40" s="203" t="s">
        <v>1082</v>
      </c>
      <c r="C40" s="439" t="s">
        <v>1176</v>
      </c>
      <c r="D40" s="420">
        <v>2010</v>
      </c>
      <c r="E40" s="520">
        <v>0</v>
      </c>
      <c r="F40" s="521">
        <v>0</v>
      </c>
      <c r="G40" s="521">
        <v>0</v>
      </c>
      <c r="H40" s="204"/>
      <c r="I40" s="520">
        <v>20622.434155917959</v>
      </c>
      <c r="J40" s="522">
        <v>519880.15078109095</v>
      </c>
      <c r="K40" s="522">
        <v>554023.99883166887</v>
      </c>
      <c r="L40" s="523">
        <v>-35091.768054430722</v>
      </c>
      <c r="M40" s="524"/>
      <c r="N40" s="524">
        <v>0</v>
      </c>
      <c r="O40" s="524">
        <v>0</v>
      </c>
      <c r="P40" s="520">
        <v>0</v>
      </c>
      <c r="Q40" s="520">
        <v>10721.114601840014</v>
      </c>
      <c r="R40" s="525">
        <v>-2800.2992928199419</v>
      </c>
      <c r="S40" s="525"/>
      <c r="T40" s="528">
        <v>-2800.2992928199419</v>
      </c>
      <c r="U40" s="2240">
        <v>0</v>
      </c>
      <c r="V40" s="527">
        <v>-13521.413894659956</v>
      </c>
      <c r="W40" t="s">
        <v>1105</v>
      </c>
    </row>
    <row r="41" spans="1:23" ht="13">
      <c r="A41" s="1793" t="s">
        <v>1106</v>
      </c>
      <c r="B41" s="203" t="s">
        <v>1082</v>
      </c>
      <c r="C41" s="439" t="s">
        <v>1177</v>
      </c>
      <c r="D41" s="420">
        <v>2010</v>
      </c>
      <c r="E41" s="520">
        <v>0</v>
      </c>
      <c r="F41" s="521">
        <v>0</v>
      </c>
      <c r="G41" s="521">
        <v>0</v>
      </c>
      <c r="H41" s="204"/>
      <c r="I41" s="520">
        <v>338.20778575794793</v>
      </c>
      <c r="J41" s="522">
        <v>8921.6598883765382</v>
      </c>
      <c r="K41" s="522">
        <v>9507.6022428403303</v>
      </c>
      <c r="L41" s="523">
        <v>-601.85277377123748</v>
      </c>
      <c r="M41" s="524"/>
      <c r="N41" s="524">
        <v>0</v>
      </c>
      <c r="O41" s="524">
        <v>0</v>
      </c>
      <c r="P41" s="520">
        <v>0</v>
      </c>
      <c r="Q41" s="520">
        <v>196.42847431670592</v>
      </c>
      <c r="R41" s="525">
        <v>-51.306094389138224</v>
      </c>
      <c r="S41" s="564" t="s">
        <v>82</v>
      </c>
      <c r="T41" s="528">
        <v>-51.306094389138224</v>
      </c>
      <c r="U41" s="2240">
        <v>0</v>
      </c>
      <c r="V41" s="527">
        <v>-247.73456870584414</v>
      </c>
      <c r="W41" t="s">
        <v>1106</v>
      </c>
    </row>
    <row r="42" spans="1:23" ht="13">
      <c r="A42" s="1793" t="s">
        <v>1107</v>
      </c>
      <c r="B42" s="203" t="s">
        <v>1082</v>
      </c>
      <c r="C42" s="439" t="s">
        <v>1178</v>
      </c>
      <c r="D42" s="420">
        <v>2011</v>
      </c>
      <c r="E42" s="520">
        <v>0</v>
      </c>
      <c r="F42" s="521">
        <v>0</v>
      </c>
      <c r="G42" s="521">
        <v>0</v>
      </c>
      <c r="H42" s="204"/>
      <c r="I42" s="520">
        <v>591.46228721673469</v>
      </c>
      <c r="J42" s="522">
        <v>25336.876316753442</v>
      </c>
      <c r="K42" s="522">
        <v>27000.910717250852</v>
      </c>
      <c r="L42" s="523">
        <v>-1712.2097954022029</v>
      </c>
      <c r="M42" s="524"/>
      <c r="N42" s="524">
        <v>0</v>
      </c>
      <c r="O42" s="524">
        <v>0</v>
      </c>
      <c r="P42" s="520">
        <v>0</v>
      </c>
      <c r="Q42" s="520">
        <v>850.44128038719737</v>
      </c>
      <c r="R42" s="525">
        <v>-222.13083289347833</v>
      </c>
      <c r="S42" s="564" t="s">
        <v>82</v>
      </c>
      <c r="T42" s="528">
        <v>-222.13083289347833</v>
      </c>
      <c r="U42" s="2240">
        <v>0</v>
      </c>
      <c r="V42" s="527">
        <v>-1072.5721132806757</v>
      </c>
      <c r="W42" t="s">
        <v>1107</v>
      </c>
    </row>
    <row r="43" spans="1:23" ht="13">
      <c r="A43" s="1793" t="s">
        <v>1108</v>
      </c>
      <c r="B43" s="203" t="s">
        <v>1082</v>
      </c>
      <c r="C43" s="439" t="s">
        <v>1179</v>
      </c>
      <c r="D43" s="420">
        <v>2012</v>
      </c>
      <c r="E43" s="520">
        <v>0</v>
      </c>
      <c r="F43" s="521">
        <v>0</v>
      </c>
      <c r="G43" s="521">
        <v>0</v>
      </c>
      <c r="H43" s="204"/>
      <c r="I43" s="520">
        <v>1702.0425335428517</v>
      </c>
      <c r="J43" s="522">
        <v>44054.714106006155</v>
      </c>
      <c r="K43" s="522">
        <v>46948.06839561915</v>
      </c>
      <c r="L43" s="523">
        <v>-2964.193224474242</v>
      </c>
      <c r="M43" s="524"/>
      <c r="N43" s="524">
        <v>0</v>
      </c>
      <c r="O43" s="524">
        <v>0</v>
      </c>
      <c r="P43" s="520">
        <v>0</v>
      </c>
      <c r="Q43" s="520">
        <v>944.58981603924053</v>
      </c>
      <c r="R43" s="525">
        <v>-246.72194003090249</v>
      </c>
      <c r="S43" s="564" t="s">
        <v>82</v>
      </c>
      <c r="T43" s="528">
        <v>-246.72194003090249</v>
      </c>
      <c r="U43" s="2240">
        <v>0</v>
      </c>
      <c r="V43" s="527">
        <v>-1191.311756070143</v>
      </c>
      <c r="W43" t="s">
        <v>1108</v>
      </c>
    </row>
    <row r="44" spans="1:23" ht="13">
      <c r="A44" s="1793" t="s">
        <v>1109</v>
      </c>
      <c r="B44" s="203" t="s">
        <v>1082</v>
      </c>
      <c r="C44" s="439" t="s">
        <v>1180</v>
      </c>
      <c r="D44" s="420">
        <v>2012</v>
      </c>
      <c r="E44" s="520">
        <v>0</v>
      </c>
      <c r="F44" s="521">
        <v>0</v>
      </c>
      <c r="G44" s="521">
        <v>0</v>
      </c>
      <c r="H44" s="204"/>
      <c r="I44" s="520">
        <v>21413.97744479531</v>
      </c>
      <c r="J44" s="522">
        <v>551087.16430184396</v>
      </c>
      <c r="K44" s="522">
        <v>587280.57613392803</v>
      </c>
      <c r="L44" s="523">
        <v>-37076.229431452579</v>
      </c>
      <c r="M44" s="524"/>
      <c r="N44" s="524">
        <v>0</v>
      </c>
      <c r="O44" s="524">
        <v>0</v>
      </c>
      <c r="P44" s="520">
        <v>0</v>
      </c>
      <c r="Q44" s="520">
        <v>11718.597703682135</v>
      </c>
      <c r="R44" s="525">
        <v>-3060.8366836066198</v>
      </c>
      <c r="S44" s="564" t="s">
        <v>82</v>
      </c>
      <c r="T44" s="528">
        <v>-3060.8366836066198</v>
      </c>
      <c r="U44" s="2240">
        <v>0</v>
      </c>
      <c r="V44" s="527">
        <v>-14779.434387288755</v>
      </c>
      <c r="W44" t="s">
        <v>1109</v>
      </c>
    </row>
    <row r="45" spans="1:23" ht="37.5">
      <c r="A45" s="1793" t="s">
        <v>1110</v>
      </c>
      <c r="B45" s="203" t="s">
        <v>1082</v>
      </c>
      <c r="C45" s="439" t="s">
        <v>1181</v>
      </c>
      <c r="D45" s="420">
        <v>2012</v>
      </c>
      <c r="E45" s="520">
        <v>0</v>
      </c>
      <c r="F45" s="521">
        <v>0</v>
      </c>
      <c r="G45" s="521">
        <v>0</v>
      </c>
      <c r="H45" s="204"/>
      <c r="I45" s="520">
        <v>7495.2737117575016</v>
      </c>
      <c r="J45" s="522">
        <v>199443.54255979761</v>
      </c>
      <c r="K45" s="522">
        <v>212542.27310682731</v>
      </c>
      <c r="L45" s="523">
        <v>-13410.607782573818</v>
      </c>
      <c r="M45" s="524"/>
      <c r="N45" s="524">
        <v>0</v>
      </c>
      <c r="O45" s="524">
        <v>0</v>
      </c>
      <c r="P45" s="520">
        <v>0</v>
      </c>
      <c r="Q45" s="520">
        <v>4442.9749259537621</v>
      </c>
      <c r="R45" s="525">
        <v>-1160.481909318436</v>
      </c>
      <c r="S45" s="564" t="s">
        <v>82</v>
      </c>
      <c r="T45" s="528">
        <v>-1160.481909318436</v>
      </c>
      <c r="U45" s="2240">
        <v>0</v>
      </c>
      <c r="V45" s="527">
        <v>-5603.4568352721981</v>
      </c>
      <c r="W45" t="s">
        <v>1110</v>
      </c>
    </row>
    <row r="46" spans="1:23" ht="13">
      <c r="A46" s="1793" t="s">
        <v>1111</v>
      </c>
      <c r="B46" s="203" t="s">
        <v>1082</v>
      </c>
      <c r="C46" s="439" t="s">
        <v>1182</v>
      </c>
      <c r="D46" s="420">
        <v>2012</v>
      </c>
      <c r="E46" s="520">
        <v>0</v>
      </c>
      <c r="F46" s="521">
        <v>0</v>
      </c>
      <c r="G46" s="521">
        <v>0</v>
      </c>
      <c r="H46" s="204"/>
      <c r="I46" s="520">
        <v>186491.21472876426</v>
      </c>
      <c r="J46" s="522">
        <v>5007863.6652807714</v>
      </c>
      <c r="K46" s="522">
        <v>5336762.0388548682</v>
      </c>
      <c r="L46" s="523">
        <v>-336923.74415405188</v>
      </c>
      <c r="M46" s="524"/>
      <c r="N46" s="524">
        <v>0</v>
      </c>
      <c r="O46" s="524">
        <v>0</v>
      </c>
      <c r="P46" s="520">
        <v>0</v>
      </c>
      <c r="Q46" s="520">
        <v>112914.48379567852</v>
      </c>
      <c r="R46" s="525">
        <v>-29492.675049653932</v>
      </c>
      <c r="S46" s="564" t="s">
        <v>82</v>
      </c>
      <c r="T46" s="528">
        <v>-29492.675049653932</v>
      </c>
      <c r="U46" s="2240">
        <v>0</v>
      </c>
      <c r="V46" s="527">
        <v>-142407.15884533245</v>
      </c>
      <c r="W46" t="s">
        <v>1111</v>
      </c>
    </row>
    <row r="47" spans="1:23" ht="25">
      <c r="A47" s="1793" t="s">
        <v>1112</v>
      </c>
      <c r="B47" s="203" t="s">
        <v>1082</v>
      </c>
      <c r="C47" s="439" t="s">
        <v>1183</v>
      </c>
      <c r="D47" s="420">
        <v>2012</v>
      </c>
      <c r="E47" s="520">
        <v>0</v>
      </c>
      <c r="F47" s="521">
        <v>0</v>
      </c>
      <c r="G47" s="521">
        <v>0</v>
      </c>
      <c r="H47" s="204"/>
      <c r="I47" s="520">
        <v>979.52566129226034</v>
      </c>
      <c r="J47" s="522">
        <v>24139.818187699871</v>
      </c>
      <c r="K47" s="522">
        <v>25725.234139686199</v>
      </c>
      <c r="L47" s="523">
        <v>-1623.5851905708223</v>
      </c>
      <c r="M47" s="524"/>
      <c r="N47" s="524">
        <v>0</v>
      </c>
      <c r="O47" s="524">
        <v>0</v>
      </c>
      <c r="P47" s="520">
        <v>0</v>
      </c>
      <c r="Q47" s="520">
        <v>480.40976286057389</v>
      </c>
      <c r="R47" s="525">
        <v>-125.48052783349362</v>
      </c>
      <c r="S47" s="564" t="s">
        <v>82</v>
      </c>
      <c r="T47" s="528">
        <v>-125.48052783349362</v>
      </c>
      <c r="U47" s="2240">
        <v>0</v>
      </c>
      <c r="V47" s="527">
        <v>-605.89029069406752</v>
      </c>
      <c r="W47" t="s">
        <v>1112</v>
      </c>
    </row>
    <row r="48" spans="1:23" ht="13">
      <c r="A48" s="1793" t="s">
        <v>1113</v>
      </c>
      <c r="B48" s="203" t="s">
        <v>1082</v>
      </c>
      <c r="C48" s="439" t="s">
        <v>1184</v>
      </c>
      <c r="D48" s="420">
        <v>2012</v>
      </c>
      <c r="E48" s="520">
        <v>0</v>
      </c>
      <c r="F48" s="521">
        <v>0</v>
      </c>
      <c r="G48" s="521">
        <v>0</v>
      </c>
      <c r="H48" s="204"/>
      <c r="I48" s="520">
        <v>16122.750415777788</v>
      </c>
      <c r="J48" s="522">
        <v>436660.62931238656</v>
      </c>
      <c r="K48" s="522">
        <v>465338.92017329263</v>
      </c>
      <c r="L48" s="523">
        <v>-29387.989515734953</v>
      </c>
      <c r="M48" s="524"/>
      <c r="N48" s="524">
        <v>0</v>
      </c>
      <c r="O48" s="524">
        <v>0</v>
      </c>
      <c r="P48" s="520">
        <v>0</v>
      </c>
      <c r="Q48" s="520">
        <v>9955.2745777140426</v>
      </c>
      <c r="R48" s="525">
        <v>-2600.2658674142385</v>
      </c>
      <c r="S48" s="564" t="s">
        <v>82</v>
      </c>
      <c r="T48" s="528">
        <v>-2600.2658674142385</v>
      </c>
      <c r="U48" s="2240">
        <v>0</v>
      </c>
      <c r="V48" s="527">
        <v>-12555.540445128281</v>
      </c>
      <c r="W48" t="s">
        <v>1113</v>
      </c>
    </row>
    <row r="49" spans="1:23" ht="13">
      <c r="A49" s="1793" t="s">
        <v>1114</v>
      </c>
      <c r="B49" s="203" t="s">
        <v>1082</v>
      </c>
      <c r="C49" s="439" t="s">
        <v>1185</v>
      </c>
      <c r="D49" s="420">
        <v>2012</v>
      </c>
      <c r="E49" s="520">
        <v>0</v>
      </c>
      <c r="F49" s="521">
        <v>0</v>
      </c>
      <c r="G49" s="521">
        <v>0</v>
      </c>
      <c r="H49" s="204"/>
      <c r="I49" s="520">
        <v>238869.81101906579</v>
      </c>
      <c r="J49" s="522">
        <v>6426145.2303701257</v>
      </c>
      <c r="K49" s="522">
        <v>6848191.2076343987</v>
      </c>
      <c r="L49" s="523">
        <v>-431539.40699691698</v>
      </c>
      <c r="M49" s="524"/>
      <c r="N49" s="524">
        <v>0</v>
      </c>
      <c r="O49" s="524">
        <v>0</v>
      </c>
      <c r="P49" s="520">
        <v>0</v>
      </c>
      <c r="Q49" s="520">
        <v>145240.18611812138</v>
      </c>
      <c r="R49" s="525">
        <v>-37935.980127085815</v>
      </c>
      <c r="S49" s="564" t="s">
        <v>82</v>
      </c>
      <c r="T49" s="528">
        <v>-37935.980127085815</v>
      </c>
      <c r="U49" s="2240">
        <v>0</v>
      </c>
      <c r="V49" s="527">
        <v>-183176.16624520719</v>
      </c>
      <c r="W49" t="s">
        <v>1114</v>
      </c>
    </row>
    <row r="50" spans="1:23" ht="13">
      <c r="A50" s="1793" t="s">
        <v>1115</v>
      </c>
      <c r="B50" s="203" t="s">
        <v>1082</v>
      </c>
      <c r="C50" s="439" t="s">
        <v>1186</v>
      </c>
      <c r="D50" s="420">
        <v>2013</v>
      </c>
      <c r="E50" s="520">
        <v>0</v>
      </c>
      <c r="F50" s="521">
        <v>0</v>
      </c>
      <c r="G50" s="521">
        <v>0</v>
      </c>
      <c r="H50" s="204"/>
      <c r="I50" s="520">
        <v>34090.299905829597</v>
      </c>
      <c r="J50" s="522">
        <v>923225.17572562839</v>
      </c>
      <c r="K50" s="522">
        <v>983859.26623491815</v>
      </c>
      <c r="L50" s="523">
        <v>-62036.253755588667</v>
      </c>
      <c r="M50" s="524"/>
      <c r="N50" s="524">
        <v>0</v>
      </c>
      <c r="O50" s="524">
        <v>0</v>
      </c>
      <c r="P50" s="520">
        <v>0</v>
      </c>
      <c r="Q50" s="520">
        <v>21046.543153251892</v>
      </c>
      <c r="R50" s="525">
        <v>-5497.2474502082696</v>
      </c>
      <c r="S50" s="564" t="s">
        <v>82</v>
      </c>
      <c r="T50" s="528">
        <v>-5497.2474502082696</v>
      </c>
      <c r="U50" s="2240">
        <v>0</v>
      </c>
      <c r="V50" s="527">
        <v>-26543.790603460162</v>
      </c>
      <c r="W50" t="s">
        <v>1115</v>
      </c>
    </row>
    <row r="51" spans="1:23" ht="13">
      <c r="A51" s="1793" t="s">
        <v>1116</v>
      </c>
      <c r="B51" s="203" t="s">
        <v>1082</v>
      </c>
      <c r="C51" s="439" t="s">
        <v>1187</v>
      </c>
      <c r="D51" s="420">
        <v>2013</v>
      </c>
      <c r="E51" s="520">
        <v>0</v>
      </c>
      <c r="F51" s="521">
        <v>0</v>
      </c>
      <c r="G51" s="521">
        <v>0</v>
      </c>
      <c r="H51" s="204"/>
      <c r="I51" s="520">
        <v>16749.086235474213</v>
      </c>
      <c r="J51" s="522">
        <v>466452.38173266267</v>
      </c>
      <c r="K51" s="522">
        <v>497087.28714457643</v>
      </c>
      <c r="L51" s="523">
        <v>-31347.309446624829</v>
      </c>
      <c r="M51" s="524"/>
      <c r="N51" s="524">
        <v>0</v>
      </c>
      <c r="O51" s="524">
        <v>0</v>
      </c>
      <c r="P51" s="520">
        <v>0</v>
      </c>
      <c r="Q51" s="520">
        <v>11010.051159652043</v>
      </c>
      <c r="R51" s="525">
        <v>-2875.7680167875023</v>
      </c>
      <c r="S51" s="564" t="s">
        <v>82</v>
      </c>
      <c r="T51" s="528">
        <v>-2875.7680167875023</v>
      </c>
      <c r="U51" s="2240">
        <v>0</v>
      </c>
      <c r="V51" s="527">
        <v>-13885.819176439545</v>
      </c>
      <c r="W51" t="s">
        <v>1116</v>
      </c>
    </row>
    <row r="52" spans="1:23" ht="13">
      <c r="A52" s="1793" t="s">
        <v>1117</v>
      </c>
      <c r="B52" s="203" t="s">
        <v>1082</v>
      </c>
      <c r="C52" s="439" t="s">
        <v>1188</v>
      </c>
      <c r="D52" s="420">
        <v>2013</v>
      </c>
      <c r="E52" s="520">
        <v>0</v>
      </c>
      <c r="F52" s="521">
        <v>0</v>
      </c>
      <c r="G52" s="521">
        <v>0</v>
      </c>
      <c r="H52" s="204"/>
      <c r="I52" s="520">
        <v>14946.481427488266</v>
      </c>
      <c r="J52" s="522">
        <v>690587.45785046753</v>
      </c>
      <c r="K52" s="522">
        <v>735942.7444315278</v>
      </c>
      <c r="L52" s="523">
        <v>-46504.822622247506</v>
      </c>
      <c r="M52" s="524"/>
      <c r="N52" s="524">
        <v>0</v>
      </c>
      <c r="O52" s="524">
        <v>0</v>
      </c>
      <c r="P52" s="520">
        <v>0</v>
      </c>
      <c r="Q52" s="520">
        <v>24111.109052376763</v>
      </c>
      <c r="R52" s="525">
        <v>-6297.6961011952371</v>
      </c>
      <c r="S52" s="564" t="s">
        <v>82</v>
      </c>
      <c r="T52" s="528">
        <v>-6297.6961011952371</v>
      </c>
      <c r="U52" s="2240">
        <v>0</v>
      </c>
      <c r="V52" s="527">
        <v>-30408.805153572001</v>
      </c>
      <c r="W52" t="s">
        <v>1117</v>
      </c>
    </row>
    <row r="53" spans="1:23" ht="25">
      <c r="A53" s="1793" t="s">
        <v>1118</v>
      </c>
      <c r="B53" s="203" t="s">
        <v>1082</v>
      </c>
      <c r="C53" s="439" t="s">
        <v>1189</v>
      </c>
      <c r="D53" s="420">
        <v>2013</v>
      </c>
      <c r="E53" s="520">
        <v>0</v>
      </c>
      <c r="F53" s="521">
        <v>0</v>
      </c>
      <c r="G53" s="521">
        <v>0</v>
      </c>
      <c r="H53" s="204"/>
      <c r="I53" s="520">
        <v>19711.080785051337</v>
      </c>
      <c r="J53" s="522">
        <v>542015.21942122886</v>
      </c>
      <c r="K53" s="522">
        <v>577612.81872409536</v>
      </c>
      <c r="L53" s="523">
        <v>-36424.178936855635</v>
      </c>
      <c r="M53" s="524"/>
      <c r="N53" s="524">
        <v>0</v>
      </c>
      <c r="O53" s="524">
        <v>0</v>
      </c>
      <c r="P53" s="520">
        <v>0</v>
      </c>
      <c r="Q53" s="520">
        <v>12596.403525596921</v>
      </c>
      <c r="R53" s="525">
        <v>-3290.1149922182376</v>
      </c>
      <c r="S53" s="564" t="s">
        <v>82</v>
      </c>
      <c r="T53" s="528">
        <v>-3290.1149922182376</v>
      </c>
      <c r="U53" s="2240">
        <v>0</v>
      </c>
      <c r="V53" s="527">
        <v>-15886.518517815159</v>
      </c>
      <c r="W53" t="s">
        <v>1118</v>
      </c>
    </row>
    <row r="54" spans="1:23" ht="25">
      <c r="A54" s="1793" t="s">
        <v>1119</v>
      </c>
      <c r="B54" s="203" t="s">
        <v>1082</v>
      </c>
      <c r="C54" s="439" t="s">
        <v>1190</v>
      </c>
      <c r="D54" s="420">
        <v>2013</v>
      </c>
      <c r="E54" s="520">
        <v>0</v>
      </c>
      <c r="F54" s="521">
        <v>0</v>
      </c>
      <c r="G54" s="521">
        <v>0</v>
      </c>
      <c r="H54" s="204"/>
      <c r="I54" s="520">
        <v>11290.030005345237</v>
      </c>
      <c r="J54" s="522">
        <v>283105.5255808658</v>
      </c>
      <c r="K54" s="522">
        <v>301698.87259207398</v>
      </c>
      <c r="L54" s="523">
        <v>-19014.008942120534</v>
      </c>
      <c r="M54" s="524"/>
      <c r="N54" s="524">
        <v>0</v>
      </c>
      <c r="O54" s="524">
        <v>0</v>
      </c>
      <c r="P54" s="520">
        <v>0</v>
      </c>
      <c r="Q54" s="520">
        <v>5790.7922354441662</v>
      </c>
      <c r="R54" s="525">
        <v>-1512.5247704187814</v>
      </c>
      <c r="S54" s="564" t="s">
        <v>82</v>
      </c>
      <c r="T54" s="528">
        <v>-1512.5247704187814</v>
      </c>
      <c r="U54" s="2240">
        <v>0</v>
      </c>
      <c r="V54" s="527">
        <v>-7303.3170058629476</v>
      </c>
      <c r="W54" t="s">
        <v>1119</v>
      </c>
    </row>
    <row r="55" spans="1:23" ht="25">
      <c r="A55" s="465" t="s">
        <v>1120</v>
      </c>
      <c r="B55" s="203" t="s">
        <v>1082</v>
      </c>
      <c r="C55" s="439" t="s">
        <v>1191</v>
      </c>
      <c r="D55" s="420">
        <v>2013</v>
      </c>
      <c r="E55" s="520">
        <v>0</v>
      </c>
      <c r="F55" s="521">
        <v>0</v>
      </c>
      <c r="G55" s="521">
        <v>0</v>
      </c>
      <c r="H55" s="204"/>
      <c r="I55" s="520">
        <v>17245.025289027952</v>
      </c>
      <c r="J55" s="522">
        <v>459483.23518961505</v>
      </c>
      <c r="K55" s="522">
        <v>489660.43226192298</v>
      </c>
      <c r="L55" s="523">
        <v>-30887.887648048287</v>
      </c>
      <c r="M55" s="524"/>
      <c r="N55" s="524">
        <v>0</v>
      </c>
      <c r="O55" s="524">
        <v>0</v>
      </c>
      <c r="P55" s="520">
        <v>0</v>
      </c>
      <c r="Q55" s="520">
        <v>10253.905162535011</v>
      </c>
      <c r="R55" s="525">
        <v>-2678.2666207449656</v>
      </c>
      <c r="S55" s="564" t="s">
        <v>82</v>
      </c>
      <c r="T55" s="528">
        <v>-2678.2666207449656</v>
      </c>
      <c r="U55" s="2240">
        <v>0</v>
      </c>
      <c r="V55" s="527">
        <v>-12932.171783279977</v>
      </c>
      <c r="W55" t="s">
        <v>1120</v>
      </c>
    </row>
    <row r="56" spans="1:23" ht="13">
      <c r="A56" s="465" t="s">
        <v>1121</v>
      </c>
      <c r="B56" s="203" t="s">
        <v>1082</v>
      </c>
      <c r="C56" s="439" t="s">
        <v>1192</v>
      </c>
      <c r="D56" s="420">
        <v>2014</v>
      </c>
      <c r="E56" s="520">
        <v>0</v>
      </c>
      <c r="F56" s="521">
        <v>0</v>
      </c>
      <c r="G56" s="521">
        <v>0</v>
      </c>
      <c r="H56" s="204"/>
      <c r="I56" s="520">
        <v>39676.652160895057</v>
      </c>
      <c r="J56" s="522">
        <v>1057065.9534677749</v>
      </c>
      <c r="K56" s="522">
        <v>1126490.2221966661</v>
      </c>
      <c r="L56" s="523">
        <v>-70934.019349056762</v>
      </c>
      <c r="M56" s="524"/>
      <c r="N56" s="524">
        <v>0</v>
      </c>
      <c r="O56" s="524">
        <v>0</v>
      </c>
      <c r="P56" s="520">
        <v>0</v>
      </c>
      <c r="Q56" s="520">
        <v>23586.853330703507</v>
      </c>
      <c r="R56" s="525">
        <v>-6160.7632372925909</v>
      </c>
      <c r="S56" s="564" t="s">
        <v>82</v>
      </c>
      <c r="T56" s="528">
        <v>-6160.7632372925909</v>
      </c>
      <c r="U56" s="2240">
        <v>0</v>
      </c>
      <c r="V56" s="527">
        <v>-29747.616567996098</v>
      </c>
      <c r="W56" t="s">
        <v>1121</v>
      </c>
    </row>
    <row r="57" spans="1:23" ht="13">
      <c r="A57" s="465" t="s">
        <v>1122</v>
      </c>
      <c r="B57" s="203" t="s">
        <v>1082</v>
      </c>
      <c r="C57" s="439" t="s">
        <v>1193</v>
      </c>
      <c r="D57" s="420">
        <v>2014</v>
      </c>
      <c r="E57" s="520">
        <v>0</v>
      </c>
      <c r="F57" s="521">
        <v>0</v>
      </c>
      <c r="G57" s="521">
        <v>0</v>
      </c>
      <c r="H57" s="204"/>
      <c r="I57" s="520">
        <v>20663.250155500602</v>
      </c>
      <c r="J57" s="522">
        <v>543314.27111948398</v>
      </c>
      <c r="K57" s="522">
        <v>578997.18743960606</v>
      </c>
      <c r="L57" s="523">
        <v>-36419.330521358061</v>
      </c>
      <c r="M57" s="524"/>
      <c r="N57" s="524">
        <v>0</v>
      </c>
      <c r="O57" s="524">
        <v>0</v>
      </c>
      <c r="P57" s="520">
        <v>0</v>
      </c>
      <c r="Q57" s="520">
        <v>11909.077222751146</v>
      </c>
      <c r="R57" s="525">
        <v>-3110.5889418703318</v>
      </c>
      <c r="S57" s="564" t="s">
        <v>82</v>
      </c>
      <c r="T57" s="528">
        <v>-3110.5889418703318</v>
      </c>
      <c r="U57" s="2240">
        <v>0</v>
      </c>
      <c r="V57" s="527">
        <v>-15019.666164621478</v>
      </c>
      <c r="W57" t="s">
        <v>1122</v>
      </c>
    </row>
    <row r="58" spans="1:23" ht="25">
      <c r="A58" s="465" t="s">
        <v>1123</v>
      </c>
      <c r="B58" s="203" t="s">
        <v>1082</v>
      </c>
      <c r="C58" s="439" t="s">
        <v>1194</v>
      </c>
      <c r="D58" s="420">
        <v>2014</v>
      </c>
      <c r="E58" s="520">
        <v>0</v>
      </c>
      <c r="F58" s="521">
        <v>0</v>
      </c>
      <c r="G58" s="521">
        <v>0</v>
      </c>
      <c r="H58" s="204"/>
      <c r="I58" s="520">
        <v>20876.976300543756</v>
      </c>
      <c r="J58" s="522">
        <v>582535.89545892982</v>
      </c>
      <c r="K58" s="522">
        <v>620794.74621265323</v>
      </c>
      <c r="L58" s="523">
        <v>-39092.261469036574</v>
      </c>
      <c r="M58" s="524"/>
      <c r="N58" s="524">
        <v>0</v>
      </c>
      <c r="O58" s="524">
        <v>0</v>
      </c>
      <c r="P58" s="520">
        <v>0</v>
      </c>
      <c r="Q58" s="520">
        <v>13782.069645906717</v>
      </c>
      <c r="R58" s="525">
        <v>-3599.804807272938</v>
      </c>
      <c r="S58" s="564" t="s">
        <v>82</v>
      </c>
      <c r="T58" s="528">
        <v>-3599.804807272938</v>
      </c>
      <c r="U58" s="2240">
        <v>0</v>
      </c>
      <c r="V58" s="527">
        <v>-17381.874453179655</v>
      </c>
      <c r="W58" t="s">
        <v>1123</v>
      </c>
    </row>
    <row r="59" spans="1:23" ht="25">
      <c r="A59" s="465" t="s">
        <v>1124</v>
      </c>
      <c r="B59" s="203" t="s">
        <v>1082</v>
      </c>
      <c r="C59" s="439" t="s">
        <v>1195</v>
      </c>
      <c r="D59" s="420">
        <v>2014</v>
      </c>
      <c r="E59" s="520">
        <v>0</v>
      </c>
      <c r="F59" s="521">
        <v>0</v>
      </c>
      <c r="G59" s="521">
        <v>0</v>
      </c>
      <c r="H59" s="204"/>
      <c r="I59" s="520">
        <v>63441.260197494878</v>
      </c>
      <c r="J59" s="522">
        <v>1658275.5464853691</v>
      </c>
      <c r="K59" s="522">
        <v>1767185.0868863964</v>
      </c>
      <c r="L59" s="523">
        <v>-111151.47825858463</v>
      </c>
      <c r="M59" s="524"/>
      <c r="N59" s="524">
        <v>0</v>
      </c>
      <c r="O59" s="524">
        <v>0</v>
      </c>
      <c r="P59" s="520">
        <v>0</v>
      </c>
      <c r="Q59" s="520">
        <v>36051.750697696094</v>
      </c>
      <c r="R59" s="525">
        <v>-9416.5295058363336</v>
      </c>
      <c r="S59" s="564" t="s">
        <v>82</v>
      </c>
      <c r="T59" s="528">
        <v>-9416.5295058363336</v>
      </c>
      <c r="U59" s="2240">
        <v>0</v>
      </c>
      <c r="V59" s="527">
        <v>-45468.280203532428</v>
      </c>
      <c r="W59" t="s">
        <v>1124</v>
      </c>
    </row>
    <row r="60" spans="1:23" ht="13">
      <c r="A60" s="465" t="s">
        <v>1125</v>
      </c>
      <c r="B60" s="203" t="s">
        <v>1082</v>
      </c>
      <c r="C60" s="439" t="s">
        <v>1196</v>
      </c>
      <c r="D60" s="420">
        <v>2007</v>
      </c>
      <c r="E60" s="520">
        <v>0</v>
      </c>
      <c r="F60" s="521">
        <v>0</v>
      </c>
      <c r="G60" s="521">
        <v>0</v>
      </c>
      <c r="H60" s="204"/>
      <c r="I60" s="520">
        <v>723956.25750753749</v>
      </c>
      <c r="J60" s="522">
        <v>3306948.9603663096</v>
      </c>
      <c r="K60" s="522">
        <v>3524137.4078269792</v>
      </c>
      <c r="L60" s="523">
        <v>-214411.28229381843</v>
      </c>
      <c r="M60" s="524"/>
      <c r="N60" s="524">
        <v>0</v>
      </c>
      <c r="O60" s="524">
        <v>0</v>
      </c>
      <c r="P60" s="520">
        <v>0</v>
      </c>
      <c r="Q60" s="520">
        <v>-401815.65407014691</v>
      </c>
      <c r="R60" s="525">
        <v>104952.15597672103</v>
      </c>
      <c r="S60" s="564" t="s">
        <v>82</v>
      </c>
      <c r="T60" s="528">
        <v>104952.15597672103</v>
      </c>
      <c r="U60" s="2240">
        <v>0</v>
      </c>
      <c r="V60" s="527">
        <v>506767.81004686793</v>
      </c>
      <c r="W60" t="s">
        <v>1125</v>
      </c>
    </row>
    <row r="61" spans="1:23" ht="13">
      <c r="A61" s="465" t="s">
        <v>1126</v>
      </c>
      <c r="B61" s="203" t="s">
        <v>1082</v>
      </c>
      <c r="C61" s="439" t="s">
        <v>1197</v>
      </c>
      <c r="D61" s="420">
        <v>2007</v>
      </c>
      <c r="E61" s="520">
        <v>0</v>
      </c>
      <c r="F61" s="521">
        <v>0</v>
      </c>
      <c r="G61" s="521">
        <v>0</v>
      </c>
      <c r="H61" s="204"/>
      <c r="I61" s="520">
        <v>71289.707208938518</v>
      </c>
      <c r="J61" s="522">
        <v>302549.85798063729</v>
      </c>
      <c r="K61" s="522">
        <v>322420.23841946386</v>
      </c>
      <c r="L61" s="523">
        <v>-19554.900753816648</v>
      </c>
      <c r="M61" s="524"/>
      <c r="N61" s="524">
        <v>0</v>
      </c>
      <c r="O61" s="524">
        <v>0</v>
      </c>
      <c r="P61" s="520">
        <v>0</v>
      </c>
      <c r="Q61" s="520">
        <v>-40770.329149494173</v>
      </c>
      <c r="R61" s="525">
        <v>10648.997620617774</v>
      </c>
      <c r="S61" s="564" t="s">
        <v>82</v>
      </c>
      <c r="T61" s="528">
        <v>10648.997620617774</v>
      </c>
      <c r="U61" s="2240">
        <v>0</v>
      </c>
      <c r="V61" s="527">
        <v>51419.326770111948</v>
      </c>
      <c r="W61" t="s">
        <v>1126</v>
      </c>
    </row>
    <row r="62" spans="1:23" ht="13">
      <c r="A62" s="465" t="s">
        <v>1127</v>
      </c>
      <c r="B62" s="203" t="s">
        <v>1082</v>
      </c>
      <c r="C62" s="439" t="s">
        <v>1198</v>
      </c>
      <c r="D62" s="420">
        <v>2008</v>
      </c>
      <c r="E62" s="520">
        <v>0</v>
      </c>
      <c r="F62" s="521">
        <v>0</v>
      </c>
      <c r="G62" s="521">
        <v>0</v>
      </c>
      <c r="H62" s="204"/>
      <c r="I62" s="520">
        <v>382084.36864672741</v>
      </c>
      <c r="J62" s="522">
        <v>1851635.8707739497</v>
      </c>
      <c r="K62" s="522">
        <v>1973244.6179471542</v>
      </c>
      <c r="L62" s="523">
        <v>-120336.42273888551</v>
      </c>
      <c r="M62" s="524"/>
      <c r="N62" s="524">
        <v>0</v>
      </c>
      <c r="O62" s="524">
        <v>0</v>
      </c>
      <c r="P62" s="520">
        <v>0</v>
      </c>
      <c r="Q62" s="520">
        <v>-206530.84141637155</v>
      </c>
      <c r="R62" s="525">
        <v>53944.780057151307</v>
      </c>
      <c r="S62" s="564" t="s">
        <v>82</v>
      </c>
      <c r="T62" s="528">
        <v>53944.780057151307</v>
      </c>
      <c r="U62" s="2240">
        <v>0</v>
      </c>
      <c r="V62" s="527">
        <v>260475.62147352286</v>
      </c>
      <c r="W62" t="s">
        <v>1127</v>
      </c>
    </row>
    <row r="63" spans="1:23" ht="13">
      <c r="A63" s="465" t="s">
        <v>1128</v>
      </c>
      <c r="B63" s="203" t="s">
        <v>1082</v>
      </c>
      <c r="C63" s="439" t="s">
        <v>1199</v>
      </c>
      <c r="D63" s="420">
        <v>2012</v>
      </c>
      <c r="E63" s="520">
        <v>0</v>
      </c>
      <c r="F63" s="521">
        <v>0</v>
      </c>
      <c r="G63" s="521">
        <v>0</v>
      </c>
      <c r="H63" s="204"/>
      <c r="I63" s="520">
        <v>9830.3008970095834</v>
      </c>
      <c r="J63" s="522">
        <v>88534.970347013354</v>
      </c>
      <c r="K63" s="522">
        <v>94349.626994606209</v>
      </c>
      <c r="L63" s="523">
        <v>-5856.3097211553686</v>
      </c>
      <c r="M63" s="524"/>
      <c r="N63" s="524">
        <v>0</v>
      </c>
      <c r="O63" s="524">
        <v>0</v>
      </c>
      <c r="P63" s="520">
        <v>0</v>
      </c>
      <c r="Q63" s="520">
        <v>-3184.0000264483629</v>
      </c>
      <c r="R63" s="525">
        <v>831.64422296836483</v>
      </c>
      <c r="S63" s="564" t="s">
        <v>82</v>
      </c>
      <c r="T63" s="528">
        <v>831.64422296836483</v>
      </c>
      <c r="U63" s="2240">
        <v>0</v>
      </c>
      <c r="V63" s="527">
        <v>4015.6442494167277</v>
      </c>
      <c r="W63" t="s">
        <v>1128</v>
      </c>
    </row>
    <row r="64" spans="1:23" ht="13">
      <c r="A64" s="465" t="s">
        <v>1129</v>
      </c>
      <c r="B64" s="203" t="s">
        <v>1082</v>
      </c>
      <c r="C64" s="439" t="s">
        <v>1200</v>
      </c>
      <c r="D64" s="420">
        <v>2010</v>
      </c>
      <c r="E64" s="520">
        <v>0</v>
      </c>
      <c r="F64" s="521">
        <v>0</v>
      </c>
      <c r="G64" s="521">
        <v>0</v>
      </c>
      <c r="H64" s="204"/>
      <c r="I64" s="520">
        <v>2896.042197648314</v>
      </c>
      <c r="J64" s="522">
        <v>18102.352515202041</v>
      </c>
      <c r="K64" s="522">
        <v>19291.249557546162</v>
      </c>
      <c r="L64" s="523">
        <v>-1186.6524982408228</v>
      </c>
      <c r="M64" s="524"/>
      <c r="N64" s="524">
        <v>0</v>
      </c>
      <c r="O64" s="524">
        <v>0</v>
      </c>
      <c r="P64" s="520">
        <v>0</v>
      </c>
      <c r="Q64" s="520">
        <v>-1353.5935660708142</v>
      </c>
      <c r="R64" s="525">
        <v>353.55158923337922</v>
      </c>
      <c r="S64" s="564" t="s">
        <v>82</v>
      </c>
      <c r="T64" s="528">
        <v>353.55158923337922</v>
      </c>
      <c r="U64" s="2240">
        <v>0</v>
      </c>
      <c r="V64" s="527">
        <v>1707.1451553041934</v>
      </c>
      <c r="W64" t="s">
        <v>1129</v>
      </c>
    </row>
    <row r="65" spans="1:23" ht="13">
      <c r="A65" s="465" t="s">
        <v>1130</v>
      </c>
      <c r="B65" s="203" t="s">
        <v>1082</v>
      </c>
      <c r="C65" s="439" t="s">
        <v>1201</v>
      </c>
      <c r="D65" s="420">
        <v>2010</v>
      </c>
      <c r="E65" s="520">
        <v>0</v>
      </c>
      <c r="F65" s="521">
        <v>0</v>
      </c>
      <c r="G65" s="521">
        <v>0</v>
      </c>
      <c r="H65" s="204"/>
      <c r="I65" s="520">
        <v>256.00480271735887</v>
      </c>
      <c r="J65" s="522">
        <v>2544.3712318715793</v>
      </c>
      <c r="K65" s="522">
        <v>2711.4763321427868</v>
      </c>
      <c r="L65" s="523">
        <v>-168.36035732251548</v>
      </c>
      <c r="M65" s="524"/>
      <c r="N65" s="524">
        <v>0</v>
      </c>
      <c r="O65" s="524">
        <v>0</v>
      </c>
      <c r="P65" s="520">
        <v>0</v>
      </c>
      <c r="Q65" s="520">
        <v>-70.488478898725091</v>
      </c>
      <c r="R65" s="525">
        <v>18.411223547426331</v>
      </c>
      <c r="S65" s="564" t="s">
        <v>82</v>
      </c>
      <c r="T65" s="528">
        <v>18.411223547426331</v>
      </c>
      <c r="U65" s="2240">
        <v>0</v>
      </c>
      <c r="V65" s="527">
        <v>88.899702446151423</v>
      </c>
      <c r="W65" t="s">
        <v>1130</v>
      </c>
    </row>
    <row r="66" spans="1:23" ht="13">
      <c r="A66" s="465" t="s">
        <v>1131</v>
      </c>
      <c r="B66" s="203" t="s">
        <v>1082</v>
      </c>
      <c r="C66" s="439" t="s">
        <v>1202</v>
      </c>
      <c r="D66" s="420">
        <v>2015</v>
      </c>
      <c r="E66" s="520">
        <v>0</v>
      </c>
      <c r="F66" s="521">
        <v>0</v>
      </c>
      <c r="G66" s="521">
        <v>0</v>
      </c>
      <c r="H66" s="204"/>
      <c r="I66" s="520">
        <v>67020.980205015745</v>
      </c>
      <c r="J66" s="522">
        <v>1801093.6302809638</v>
      </c>
      <c r="K66" s="522">
        <v>1919382.9458949226</v>
      </c>
      <c r="L66" s="523">
        <v>-117482.66741876304</v>
      </c>
      <c r="M66" s="524"/>
      <c r="N66" s="524">
        <v>0</v>
      </c>
      <c r="O66" s="524">
        <v>0</v>
      </c>
      <c r="P66" s="520">
        <v>0</v>
      </c>
      <c r="Q66" s="520">
        <v>40650.608260865847</v>
      </c>
      <c r="R66" s="525">
        <v>-10617.72714807716</v>
      </c>
      <c r="S66" s="564" t="s">
        <v>82</v>
      </c>
      <c r="T66" s="528">
        <v>-10617.72714807716</v>
      </c>
      <c r="U66" s="2240">
        <v>0</v>
      </c>
      <c r="V66" s="527">
        <v>-51268.335408943007</v>
      </c>
      <c r="W66" t="s">
        <v>1131</v>
      </c>
    </row>
    <row r="67" spans="1:23" ht="13">
      <c r="A67" s="465" t="s">
        <v>1132</v>
      </c>
      <c r="B67" s="203" t="s">
        <v>1082</v>
      </c>
      <c r="C67" s="439" t="s">
        <v>1203</v>
      </c>
      <c r="D67" s="420">
        <v>2015</v>
      </c>
      <c r="E67" s="520">
        <v>0</v>
      </c>
      <c r="F67" s="521">
        <v>0</v>
      </c>
      <c r="G67" s="521">
        <v>0</v>
      </c>
      <c r="H67" s="204"/>
      <c r="I67" s="520">
        <v>23033.498882679734</v>
      </c>
      <c r="J67" s="522">
        <v>631770.70774541306</v>
      </c>
      <c r="K67" s="522">
        <v>673263.1229023604</v>
      </c>
      <c r="L67" s="523">
        <v>-42150.153462995659</v>
      </c>
      <c r="M67" s="524"/>
      <c r="N67" s="524">
        <v>0</v>
      </c>
      <c r="O67" s="524">
        <v>0</v>
      </c>
      <c r="P67" s="520">
        <v>0</v>
      </c>
      <c r="Q67" s="520">
        <v>14636.05495282929</v>
      </c>
      <c r="R67" s="525">
        <v>-3822.8613214383076</v>
      </c>
      <c r="S67" s="564" t="s">
        <v>82</v>
      </c>
      <c r="T67" s="528">
        <v>-3822.8613214383076</v>
      </c>
      <c r="U67" s="2240">
        <v>0</v>
      </c>
      <c r="V67" s="527">
        <v>-18458.916274267598</v>
      </c>
      <c r="W67" t="s">
        <v>1132</v>
      </c>
    </row>
    <row r="68" spans="1:23" ht="13">
      <c r="A68" s="465" t="s">
        <v>1133</v>
      </c>
      <c r="B68" s="203" t="s">
        <v>1082</v>
      </c>
      <c r="C68" s="439" t="s">
        <v>1204</v>
      </c>
      <c r="D68" s="420">
        <v>2015</v>
      </c>
      <c r="E68" s="520">
        <v>0</v>
      </c>
      <c r="F68" s="521">
        <v>0</v>
      </c>
      <c r="G68" s="521">
        <v>0</v>
      </c>
      <c r="H68" s="204"/>
      <c r="I68" s="520">
        <v>51716.787278023548</v>
      </c>
      <c r="J68" s="522">
        <v>1357257.0239716277</v>
      </c>
      <c r="K68" s="522">
        <v>1446396.7565089068</v>
      </c>
      <c r="L68" s="523">
        <v>-90925.500736325746</v>
      </c>
      <c r="M68" s="524"/>
      <c r="N68" s="524">
        <v>0</v>
      </c>
      <c r="O68" s="524">
        <v>0</v>
      </c>
      <c r="P68" s="520">
        <v>0</v>
      </c>
      <c r="Q68" s="520">
        <v>29672.613233244614</v>
      </c>
      <c r="R68" s="525">
        <v>-7750.3320260109758</v>
      </c>
      <c r="S68" s="564" t="s">
        <v>82</v>
      </c>
      <c r="T68" s="528">
        <v>-7750.3320260109758</v>
      </c>
      <c r="U68" s="2240">
        <v>0</v>
      </c>
      <c r="V68" s="527">
        <v>-37422.94525925559</v>
      </c>
      <c r="W68" t="s">
        <v>1133</v>
      </c>
    </row>
    <row r="69" spans="1:23" ht="13">
      <c r="A69" s="465" t="s">
        <v>1134</v>
      </c>
      <c r="B69" s="203" t="s">
        <v>1082</v>
      </c>
      <c r="C69" s="439" t="s">
        <v>1205</v>
      </c>
      <c r="D69" s="420">
        <v>2015</v>
      </c>
      <c r="E69" s="520">
        <v>0</v>
      </c>
      <c r="F69" s="521">
        <v>0</v>
      </c>
      <c r="G69" s="521">
        <v>0</v>
      </c>
      <c r="H69" s="204"/>
      <c r="I69" s="520">
        <v>24806.897191736498</v>
      </c>
      <c r="J69" s="522">
        <v>654670.73839982471</v>
      </c>
      <c r="K69" s="522">
        <v>697667.14474751684</v>
      </c>
      <c r="L69" s="523">
        <v>-43834.378616324277</v>
      </c>
      <c r="M69" s="524"/>
      <c r="N69" s="524">
        <v>0</v>
      </c>
      <c r="O69" s="524">
        <v>0</v>
      </c>
      <c r="P69" s="520">
        <v>0</v>
      </c>
      <c r="Q69" s="520">
        <v>14422.442337131255</v>
      </c>
      <c r="R69" s="525">
        <v>-3767.0668188243762</v>
      </c>
      <c r="S69" s="564" t="s">
        <v>82</v>
      </c>
      <c r="T69" s="528">
        <v>-3767.0668188243762</v>
      </c>
      <c r="U69" s="2240">
        <v>0</v>
      </c>
      <c r="V69" s="527">
        <v>-18189.509155955631</v>
      </c>
      <c r="W69" t="s">
        <v>1134</v>
      </c>
    </row>
    <row r="70" spans="1:23" ht="13">
      <c r="A70" s="465" t="s">
        <v>1135</v>
      </c>
      <c r="B70" s="203" t="s">
        <v>1082</v>
      </c>
      <c r="C70" s="439" t="s">
        <v>1206</v>
      </c>
      <c r="D70" s="420">
        <v>2015</v>
      </c>
      <c r="E70" s="520">
        <v>0</v>
      </c>
      <c r="F70" s="521">
        <v>0</v>
      </c>
      <c r="G70" s="521">
        <v>0</v>
      </c>
      <c r="H70" s="204"/>
      <c r="I70" s="520">
        <v>59941.047309208196</v>
      </c>
      <c r="J70" s="522">
        <v>1580407.0624202651</v>
      </c>
      <c r="K70" s="522">
        <v>1684202.4824151695</v>
      </c>
      <c r="L70" s="523">
        <v>-105815.63858618541</v>
      </c>
      <c r="M70" s="524"/>
      <c r="N70" s="524">
        <v>0</v>
      </c>
      <c r="O70" s="524">
        <v>0</v>
      </c>
      <c r="P70" s="520">
        <v>0</v>
      </c>
      <c r="Q70" s="520">
        <v>34772.085154558888</v>
      </c>
      <c r="R70" s="525">
        <v>-9082.2875311373427</v>
      </c>
      <c r="S70" s="564" t="s">
        <v>82</v>
      </c>
      <c r="T70" s="528">
        <v>-9082.2875311373427</v>
      </c>
      <c r="U70" s="2240">
        <v>0</v>
      </c>
      <c r="V70" s="527">
        <v>-43854.372685696231</v>
      </c>
      <c r="W70" t="s">
        <v>1135</v>
      </c>
    </row>
    <row r="71" spans="1:23" ht="13">
      <c r="A71" s="465" t="s">
        <v>1136</v>
      </c>
      <c r="B71" s="203" t="s">
        <v>1082</v>
      </c>
      <c r="C71" s="439" t="s">
        <v>1207</v>
      </c>
      <c r="D71" s="420">
        <v>2016</v>
      </c>
      <c r="E71" s="520">
        <v>0</v>
      </c>
      <c r="F71" s="521">
        <v>0</v>
      </c>
      <c r="G71" s="521">
        <v>0</v>
      </c>
      <c r="H71" s="204"/>
      <c r="I71" s="520">
        <v>35512.945467617828</v>
      </c>
      <c r="J71" s="522">
        <v>1080657.3490353473</v>
      </c>
      <c r="K71" s="522">
        <v>1151631.0153020173</v>
      </c>
      <c r="L71" s="523">
        <v>-72343.606884224107</v>
      </c>
      <c r="M71" s="524"/>
      <c r="N71" s="524">
        <v>0</v>
      </c>
      <c r="O71" s="524">
        <v>0</v>
      </c>
      <c r="P71" s="520">
        <v>0</v>
      </c>
      <c r="Q71" s="520">
        <v>28116.767559392199</v>
      </c>
      <c r="R71" s="525">
        <v>-7343.953239659957</v>
      </c>
      <c r="S71" s="564" t="s">
        <v>82</v>
      </c>
      <c r="T71" s="528">
        <v>-7343.953239659957</v>
      </c>
      <c r="U71" s="2240">
        <v>0</v>
      </c>
      <c r="V71" s="527">
        <v>-35460.720799052157</v>
      </c>
      <c r="W71" t="s">
        <v>1136</v>
      </c>
    </row>
    <row r="72" spans="1:23" ht="13">
      <c r="A72" s="465" t="s">
        <v>1137</v>
      </c>
      <c r="B72" s="203" t="s">
        <v>1082</v>
      </c>
      <c r="C72" s="439" t="s">
        <v>1208</v>
      </c>
      <c r="D72" s="420">
        <v>2016</v>
      </c>
      <c r="E72" s="520">
        <v>0</v>
      </c>
      <c r="F72" s="521">
        <v>0</v>
      </c>
      <c r="G72" s="521">
        <v>0</v>
      </c>
      <c r="H72" s="204"/>
      <c r="I72" s="520">
        <v>7265.3277186275227</v>
      </c>
      <c r="J72" s="522">
        <v>181336.90317442667</v>
      </c>
      <c r="K72" s="522">
        <v>193246.45513298392</v>
      </c>
      <c r="L72" s="523">
        <v>-12130.90229660648</v>
      </c>
      <c r="M72" s="524"/>
      <c r="N72" s="524">
        <v>0</v>
      </c>
      <c r="O72" s="524">
        <v>0</v>
      </c>
      <c r="P72" s="520">
        <v>0</v>
      </c>
      <c r="Q72" s="520">
        <v>3682.4004280050985</v>
      </c>
      <c r="R72" s="525">
        <v>-961.82381192462617</v>
      </c>
      <c r="S72" s="564" t="s">
        <v>82</v>
      </c>
      <c r="T72" s="528">
        <v>-961.82381192462617</v>
      </c>
      <c r="U72" s="2240">
        <v>0</v>
      </c>
      <c r="V72" s="527">
        <v>-4644.2242399297247</v>
      </c>
      <c r="W72" t="s">
        <v>1137</v>
      </c>
    </row>
    <row r="73" spans="1:23" ht="13">
      <c r="A73" s="465" t="s">
        <v>1138</v>
      </c>
      <c r="B73" s="203" t="s">
        <v>1082</v>
      </c>
      <c r="C73" s="439" t="s">
        <v>1209</v>
      </c>
      <c r="D73" s="420">
        <v>2016</v>
      </c>
      <c r="E73" s="520">
        <v>0</v>
      </c>
      <c r="F73" s="521">
        <v>0</v>
      </c>
      <c r="G73" s="521">
        <v>0</v>
      </c>
      <c r="H73" s="204"/>
      <c r="I73" s="520">
        <v>4637.3114170120971</v>
      </c>
      <c r="J73" s="522">
        <v>141841.06130336551</v>
      </c>
      <c r="K73" s="522">
        <v>151156.6692126086</v>
      </c>
      <c r="L73" s="523">
        <v>-9493.6834897758963</v>
      </c>
      <c r="M73" s="524"/>
      <c r="N73" s="524">
        <v>0</v>
      </c>
      <c r="O73" s="524">
        <v>0</v>
      </c>
      <c r="P73" s="520">
        <v>0</v>
      </c>
      <c r="Q73" s="520">
        <v>3709.41628037901</v>
      </c>
      <c r="R73" s="525">
        <v>-968.88021185198113</v>
      </c>
      <c r="S73" s="564" t="s">
        <v>82</v>
      </c>
      <c r="T73" s="528">
        <v>-968.88021185198113</v>
      </c>
      <c r="U73" s="2240">
        <v>0</v>
      </c>
      <c r="V73" s="527">
        <v>-4678.2964922309911</v>
      </c>
      <c r="W73" t="s">
        <v>1138</v>
      </c>
    </row>
    <row r="74" spans="1:23" ht="13">
      <c r="A74" s="465" t="s">
        <v>1139</v>
      </c>
      <c r="B74" s="203" t="s">
        <v>1082</v>
      </c>
      <c r="C74" s="439" t="s">
        <v>1210</v>
      </c>
      <c r="D74" s="420">
        <v>2016</v>
      </c>
      <c r="E74" s="520">
        <v>0</v>
      </c>
      <c r="F74" s="521">
        <v>0</v>
      </c>
      <c r="G74" s="521">
        <v>0</v>
      </c>
      <c r="H74" s="204"/>
      <c r="I74" s="520">
        <v>124855.91447904194</v>
      </c>
      <c r="J74" s="522">
        <v>2948174.9624175858</v>
      </c>
      <c r="K74" s="522">
        <v>3141800.4312724075</v>
      </c>
      <c r="L74" s="523">
        <v>-197790.52307552099</v>
      </c>
      <c r="M74" s="524"/>
      <c r="N74" s="524">
        <v>0</v>
      </c>
      <c r="O74" s="524">
        <v>0</v>
      </c>
      <c r="P74" s="520">
        <v>0</v>
      </c>
      <c r="Q74" s="520">
        <v>54527.306043888057</v>
      </c>
      <c r="R74" s="525">
        <v>-14242.248331891758</v>
      </c>
      <c r="S74" s="564" t="s">
        <v>82</v>
      </c>
      <c r="T74" s="528">
        <v>-14242.248331891758</v>
      </c>
      <c r="U74" s="2240">
        <v>0</v>
      </c>
      <c r="V74" s="527">
        <v>-68769.554375779815</v>
      </c>
      <c r="W74" t="s">
        <v>1139</v>
      </c>
    </row>
    <row r="75" spans="1:23" ht="13">
      <c r="A75" s="465" t="s">
        <v>1140</v>
      </c>
      <c r="B75" s="203" t="s">
        <v>1082</v>
      </c>
      <c r="C75" s="439" t="s">
        <v>1211</v>
      </c>
      <c r="D75" s="420">
        <v>2017</v>
      </c>
      <c r="E75" s="520">
        <v>0</v>
      </c>
      <c r="F75" s="521">
        <v>0</v>
      </c>
      <c r="G75" s="521">
        <v>0</v>
      </c>
      <c r="H75" s="204"/>
      <c r="I75" s="520">
        <v>78690.339656556025</v>
      </c>
      <c r="J75" s="522">
        <v>2014995.8651977812</v>
      </c>
      <c r="K75" s="522">
        <v>2147333.5059799654</v>
      </c>
      <c r="L75" s="523">
        <v>-136822.52714752243</v>
      </c>
      <c r="M75" s="524"/>
      <c r="N75" s="524">
        <v>0</v>
      </c>
      <c r="O75" s="524">
        <v>0</v>
      </c>
      <c r="P75" s="520">
        <v>0</v>
      </c>
      <c r="Q75" s="520">
        <v>42536.88763084379</v>
      </c>
      <c r="R75" s="525">
        <v>-11110.413494784385</v>
      </c>
      <c r="S75" s="564" t="s">
        <v>82</v>
      </c>
      <c r="T75" s="528">
        <v>-11110.413494784385</v>
      </c>
      <c r="U75" s="2240">
        <v>0</v>
      </c>
      <c r="V75" s="527">
        <v>-53647.301125628175</v>
      </c>
      <c r="W75" t="s">
        <v>1140</v>
      </c>
    </row>
    <row r="76" spans="1:23" ht="13">
      <c r="A76" s="465" t="s">
        <v>1141</v>
      </c>
      <c r="B76" s="203" t="s">
        <v>1082</v>
      </c>
      <c r="C76" s="439" t="s">
        <v>1074</v>
      </c>
      <c r="D76" s="420">
        <v>2016</v>
      </c>
      <c r="E76" s="520">
        <v>0</v>
      </c>
      <c r="F76" s="521">
        <v>0</v>
      </c>
      <c r="G76" s="521">
        <v>0</v>
      </c>
      <c r="H76" s="204"/>
      <c r="I76" s="520">
        <v>449383.39723550901</v>
      </c>
      <c r="J76" s="522">
        <v>11392168.467567611</v>
      </c>
      <c r="K76" s="522">
        <v>12140364.890413921</v>
      </c>
      <c r="L76" s="523">
        <v>-767040.1491100695</v>
      </c>
      <c r="M76" s="524"/>
      <c r="N76" s="524">
        <v>0</v>
      </c>
      <c r="O76" s="524">
        <v>0</v>
      </c>
      <c r="P76" s="520">
        <v>0</v>
      </c>
      <c r="Q76" s="520">
        <v>236928.52811503384</v>
      </c>
      <c r="R76" s="525">
        <v>-61884.497495766991</v>
      </c>
      <c r="S76" s="564" t="s">
        <v>82</v>
      </c>
      <c r="T76" s="528">
        <v>-61884.497495766991</v>
      </c>
      <c r="U76" s="2240">
        <v>0</v>
      </c>
      <c r="V76" s="527">
        <v>-298813.02561080083</v>
      </c>
      <c r="W76" t="s">
        <v>1141</v>
      </c>
    </row>
    <row r="77" spans="1:23" ht="13">
      <c r="A77" s="465" t="s">
        <v>1142</v>
      </c>
      <c r="B77" s="203" t="s">
        <v>1082</v>
      </c>
      <c r="C77" s="439" t="s">
        <v>1212</v>
      </c>
      <c r="D77" s="420">
        <v>2016</v>
      </c>
      <c r="E77" s="520">
        <v>0</v>
      </c>
      <c r="F77" s="521">
        <v>0</v>
      </c>
      <c r="G77" s="521">
        <v>0</v>
      </c>
      <c r="H77" s="204"/>
      <c r="I77" s="520">
        <v>-4734033.2202558517</v>
      </c>
      <c r="J77" s="522">
        <v>6758261.3831444997</v>
      </c>
      <c r="K77" s="522">
        <v>7202119.5481571099</v>
      </c>
      <c r="L77" s="523">
        <v>-452977.94797496684</v>
      </c>
      <c r="M77" s="524"/>
      <c r="N77" s="524">
        <v>0</v>
      </c>
      <c r="O77" s="524">
        <v>0</v>
      </c>
      <c r="P77" s="520">
        <v>0</v>
      </c>
      <c r="Q77" s="520">
        <v>4105544.5362313115</v>
      </c>
      <c r="R77" s="525">
        <v>-1072346.8490371504</v>
      </c>
      <c r="S77" s="564" t="s">
        <v>82</v>
      </c>
      <c r="T77" s="528">
        <v>-1072346.8490371504</v>
      </c>
      <c r="U77" s="2240">
        <v>0</v>
      </c>
      <c r="V77" s="527">
        <v>-5177891.3852684619</v>
      </c>
      <c r="W77" t="s">
        <v>1142</v>
      </c>
    </row>
    <row r="78" spans="1:23" ht="13">
      <c r="A78" s="465" t="s">
        <v>1143</v>
      </c>
      <c r="B78" s="203" t="s">
        <v>1082</v>
      </c>
      <c r="C78" s="439" t="s">
        <v>1213</v>
      </c>
      <c r="D78" s="420">
        <v>2017</v>
      </c>
      <c r="E78" s="520">
        <v>0</v>
      </c>
      <c r="F78" s="521">
        <v>0</v>
      </c>
      <c r="G78" s="521">
        <v>0</v>
      </c>
      <c r="H78" s="204"/>
      <c r="I78" s="520">
        <v>5136.8271502990392</v>
      </c>
      <c r="J78" s="522">
        <v>147791.0954019294</v>
      </c>
      <c r="K78" s="522">
        <v>157497.48003125284</v>
      </c>
      <c r="L78" s="523">
        <v>-9782.3769999450888</v>
      </c>
      <c r="M78" s="524"/>
      <c r="N78" s="524">
        <v>0</v>
      </c>
      <c r="O78" s="524">
        <v>0</v>
      </c>
      <c r="P78" s="520">
        <v>0</v>
      </c>
      <c r="Q78" s="520">
        <v>3623.197233217139</v>
      </c>
      <c r="R78" s="525">
        <v>-946.36024580726007</v>
      </c>
      <c r="S78" s="564" t="s">
        <v>82</v>
      </c>
      <c r="T78" s="528">
        <v>-946.36024580726007</v>
      </c>
      <c r="U78" s="2240">
        <v>0</v>
      </c>
      <c r="V78" s="527">
        <v>-4569.5574790243991</v>
      </c>
      <c r="W78" t="s">
        <v>1143</v>
      </c>
    </row>
    <row r="79" spans="1:23" ht="13">
      <c r="A79" s="465" t="s">
        <v>1144</v>
      </c>
      <c r="B79" s="203" t="s">
        <v>1082</v>
      </c>
      <c r="C79" s="439" t="s">
        <v>1214</v>
      </c>
      <c r="D79" s="420">
        <v>2017</v>
      </c>
      <c r="E79" s="520">
        <v>0</v>
      </c>
      <c r="F79" s="521">
        <v>0</v>
      </c>
      <c r="G79" s="521">
        <v>0</v>
      </c>
      <c r="H79" s="204"/>
      <c r="I79" s="520">
        <v>26244.745406706003</v>
      </c>
      <c r="J79" s="522">
        <v>556026.00629962969</v>
      </c>
      <c r="K79" s="522">
        <v>592543.78341179772</v>
      </c>
      <c r="L79" s="523">
        <v>-38387.160861154669</v>
      </c>
      <c r="M79" s="524"/>
      <c r="N79" s="524">
        <v>0</v>
      </c>
      <c r="O79" s="524">
        <v>0</v>
      </c>
      <c r="P79" s="520">
        <v>0</v>
      </c>
      <c r="Q79" s="520">
        <v>8145.4758415531915</v>
      </c>
      <c r="R79" s="525">
        <v>-2127.5558639088331</v>
      </c>
      <c r="S79" s="564" t="s">
        <v>82</v>
      </c>
      <c r="T79" s="528">
        <v>-2127.5558639088331</v>
      </c>
      <c r="U79" s="2240">
        <v>0</v>
      </c>
      <c r="V79" s="527">
        <v>-10273.031705462025</v>
      </c>
      <c r="W79" t="s">
        <v>1144</v>
      </c>
    </row>
    <row r="80" spans="1:23" ht="13">
      <c r="A80" s="465" t="s">
        <v>1145</v>
      </c>
      <c r="B80" s="203" t="s">
        <v>1082</v>
      </c>
      <c r="C80" s="439" t="s">
        <v>1215</v>
      </c>
      <c r="D80" s="420">
        <v>2017</v>
      </c>
      <c r="E80" s="520">
        <v>0</v>
      </c>
      <c r="F80" s="521">
        <v>0</v>
      </c>
      <c r="G80" s="521">
        <v>0</v>
      </c>
      <c r="H80" s="204"/>
      <c r="I80" s="520">
        <v>45522.796833554283</v>
      </c>
      <c r="J80" s="522">
        <v>2033300.4459393581</v>
      </c>
      <c r="K80" s="522">
        <v>2166840.2653823951</v>
      </c>
      <c r="L80" s="523">
        <v>-132948.60225068638</v>
      </c>
      <c r="M80" s="524"/>
      <c r="N80" s="524">
        <v>0</v>
      </c>
      <c r="O80" s="524">
        <v>0</v>
      </c>
      <c r="P80" s="520">
        <v>0</v>
      </c>
      <c r="Q80" s="520">
        <v>69788.603001175972</v>
      </c>
      <c r="R80" s="525">
        <v>-18228.41960830678</v>
      </c>
      <c r="S80" s="564" t="s">
        <v>82</v>
      </c>
      <c r="T80" s="528">
        <v>-18228.41960830678</v>
      </c>
      <c r="U80" s="2240">
        <v>0</v>
      </c>
      <c r="V80" s="527">
        <v>-88017.022609482752</v>
      </c>
      <c r="W80" t="s">
        <v>1145</v>
      </c>
    </row>
    <row r="81" spans="1:23" ht="13">
      <c r="A81" s="465" t="s">
        <v>1146</v>
      </c>
      <c r="B81" s="203" t="s">
        <v>1082</v>
      </c>
      <c r="C81" s="439" t="s">
        <v>1216</v>
      </c>
      <c r="D81" s="420">
        <v>2017</v>
      </c>
      <c r="E81" s="520">
        <v>0</v>
      </c>
      <c r="F81" s="521">
        <v>0</v>
      </c>
      <c r="G81" s="521">
        <v>0</v>
      </c>
      <c r="H81" s="204"/>
      <c r="I81" s="520">
        <v>7101.9617378574912</v>
      </c>
      <c r="J81" s="522">
        <v>285796.05485241592</v>
      </c>
      <c r="K81" s="522">
        <v>304566.10609533102</v>
      </c>
      <c r="L81" s="523">
        <v>-18344.376621181495</v>
      </c>
      <c r="M81" s="524"/>
      <c r="N81" s="524">
        <v>0</v>
      </c>
      <c r="O81" s="524">
        <v>0</v>
      </c>
      <c r="P81" s="520">
        <v>0</v>
      </c>
      <c r="Q81" s="520">
        <v>9251.6156773851417</v>
      </c>
      <c r="R81" s="525">
        <v>-2416.4738276724656</v>
      </c>
      <c r="S81" s="564" t="s">
        <v>82</v>
      </c>
      <c r="T81" s="528">
        <v>-2416.4738276724656</v>
      </c>
      <c r="U81" s="2240">
        <v>0</v>
      </c>
      <c r="V81" s="527">
        <v>-11668.089505057607</v>
      </c>
      <c r="W81" t="s">
        <v>1146</v>
      </c>
    </row>
    <row r="82" spans="1:23" ht="13">
      <c r="A82" s="465" t="s">
        <v>1147</v>
      </c>
      <c r="B82" s="203" t="s">
        <v>1082</v>
      </c>
      <c r="C82" s="439" t="s">
        <v>1217</v>
      </c>
      <c r="D82" s="420">
        <v>2017</v>
      </c>
      <c r="E82" s="520">
        <v>0</v>
      </c>
      <c r="F82" s="521">
        <v>0</v>
      </c>
      <c r="G82" s="521">
        <v>0</v>
      </c>
      <c r="H82" s="204"/>
      <c r="I82" s="520">
        <v>19627.005630490836</v>
      </c>
      <c r="J82" s="522">
        <v>771409.34369319037</v>
      </c>
      <c r="K82" s="522">
        <v>822072.71942754684</v>
      </c>
      <c r="L82" s="523">
        <v>-51323.429857210955</v>
      </c>
      <c r="M82" s="524"/>
      <c r="N82" s="524">
        <v>0</v>
      </c>
      <c r="O82" s="524">
        <v>0</v>
      </c>
      <c r="P82" s="520">
        <v>0</v>
      </c>
      <c r="Q82" s="520">
        <v>24608.704629630207</v>
      </c>
      <c r="R82" s="525">
        <v>-6427.6654742354222</v>
      </c>
      <c r="S82" s="564" t="s">
        <v>82</v>
      </c>
      <c r="T82" s="528">
        <v>-6427.6654742354222</v>
      </c>
      <c r="U82" s="2240">
        <v>0</v>
      </c>
      <c r="V82" s="527">
        <v>-31036.370103865629</v>
      </c>
      <c r="W82" t="s">
        <v>1147</v>
      </c>
    </row>
    <row r="83" spans="1:23" ht="13">
      <c r="A83" s="465" t="s">
        <v>1148</v>
      </c>
      <c r="B83" s="203" t="s">
        <v>1082</v>
      </c>
      <c r="C83" s="439" t="s">
        <v>1218</v>
      </c>
      <c r="D83" s="420">
        <v>2017</v>
      </c>
      <c r="E83" s="520">
        <v>0</v>
      </c>
      <c r="F83" s="521">
        <v>0</v>
      </c>
      <c r="G83" s="521">
        <v>0</v>
      </c>
      <c r="H83" s="204"/>
      <c r="I83" s="520">
        <v>35908.45852363063</v>
      </c>
      <c r="J83" s="522">
        <v>1257740.5849062784</v>
      </c>
      <c r="K83" s="522">
        <v>1340344.4376472684</v>
      </c>
      <c r="L83" s="523">
        <v>-82004.212280698353</v>
      </c>
      <c r="M83" s="524"/>
      <c r="N83" s="524">
        <v>0</v>
      </c>
      <c r="O83" s="524">
        <v>0</v>
      </c>
      <c r="P83" s="520">
        <v>0</v>
      </c>
      <c r="Q83" s="520">
        <v>37024.728085582894</v>
      </c>
      <c r="R83" s="525">
        <v>-9670.6661317764738</v>
      </c>
      <c r="S83" s="564" t="s">
        <v>82</v>
      </c>
      <c r="T83" s="528">
        <v>-9670.6661317764738</v>
      </c>
      <c r="U83" s="2240">
        <v>0</v>
      </c>
      <c r="V83" s="527">
        <v>-46695.394217359368</v>
      </c>
      <c r="W83" t="s">
        <v>1148</v>
      </c>
    </row>
    <row r="84" spans="1:23" ht="13">
      <c r="A84" s="465" t="s">
        <v>1149</v>
      </c>
      <c r="B84" s="203" t="s">
        <v>1082</v>
      </c>
      <c r="C84" s="439" t="s">
        <v>1219</v>
      </c>
      <c r="D84" s="420">
        <v>2018</v>
      </c>
      <c r="E84" s="520">
        <v>0</v>
      </c>
      <c r="F84" s="521">
        <v>0</v>
      </c>
      <c r="G84" s="521">
        <v>0</v>
      </c>
      <c r="H84" s="204"/>
      <c r="I84" s="520">
        <v>44607.97979776701</v>
      </c>
      <c r="J84" s="522">
        <v>1352024.5642170983</v>
      </c>
      <c r="K84" s="522">
        <v>1440820.647721959</v>
      </c>
      <c r="L84" s="523">
        <v>-89367.837205129443</v>
      </c>
      <c r="M84" s="524"/>
      <c r="N84" s="524">
        <v>0</v>
      </c>
      <c r="O84" s="524">
        <v>0</v>
      </c>
      <c r="P84" s="520">
        <v>0</v>
      </c>
      <c r="Q84" s="520">
        <v>35036.700124152041</v>
      </c>
      <c r="R84" s="525">
        <v>-9151.4035829417044</v>
      </c>
      <c r="S84" s="564" t="s">
        <v>82</v>
      </c>
      <c r="T84" s="528">
        <v>-9151.4035829417044</v>
      </c>
      <c r="U84" s="2240">
        <v>0</v>
      </c>
      <c r="V84" s="527">
        <v>-44188.103707093745</v>
      </c>
      <c r="W84" t="s">
        <v>1149</v>
      </c>
    </row>
    <row r="85" spans="1:23" ht="13">
      <c r="A85" s="465" t="s">
        <v>1150</v>
      </c>
      <c r="B85" s="203" t="s">
        <v>1082</v>
      </c>
      <c r="C85" s="439" t="s">
        <v>1220</v>
      </c>
      <c r="D85" s="420">
        <v>2017</v>
      </c>
      <c r="E85" s="520">
        <v>0</v>
      </c>
      <c r="F85" s="521">
        <v>0</v>
      </c>
      <c r="G85" s="521">
        <v>0</v>
      </c>
      <c r="H85" s="204"/>
      <c r="I85" s="520">
        <v>41704.893217679346</v>
      </c>
      <c r="J85" s="522">
        <v>1171975.9343922306</v>
      </c>
      <c r="K85" s="522">
        <v>1248947.0750728296</v>
      </c>
      <c r="L85" s="523">
        <v>-76082.009742182679</v>
      </c>
      <c r="M85" s="524"/>
      <c r="N85" s="524">
        <v>0</v>
      </c>
      <c r="O85" s="524">
        <v>0</v>
      </c>
      <c r="P85" s="520">
        <v>0</v>
      </c>
      <c r="Q85" s="520">
        <v>27962.56985936455</v>
      </c>
      <c r="R85" s="525">
        <v>-7303.6776035551302</v>
      </c>
      <c r="S85" s="564" t="s">
        <v>82</v>
      </c>
      <c r="T85" s="528">
        <v>-7303.6776035551302</v>
      </c>
      <c r="U85" s="2240">
        <v>0</v>
      </c>
      <c r="V85" s="527">
        <v>-35266.24746291968</v>
      </c>
      <c r="W85" t="s">
        <v>1150</v>
      </c>
    </row>
    <row r="86" spans="1:23" ht="13">
      <c r="A86" s="465" t="s">
        <v>1151</v>
      </c>
      <c r="B86" s="203" t="s">
        <v>1082</v>
      </c>
      <c r="C86" s="439" t="s">
        <v>1221</v>
      </c>
      <c r="D86" s="420">
        <v>2018</v>
      </c>
      <c r="E86" s="520">
        <v>0</v>
      </c>
      <c r="F86" s="521">
        <v>0</v>
      </c>
      <c r="G86" s="521">
        <v>0</v>
      </c>
      <c r="H86" s="204"/>
      <c r="I86" s="520">
        <v>36060.56846929295</v>
      </c>
      <c r="J86" s="522">
        <v>872264.23556404538</v>
      </c>
      <c r="K86" s="522">
        <v>929551.39583416865</v>
      </c>
      <c r="L86" s="523">
        <v>-58418.763522886555</v>
      </c>
      <c r="M86" s="524"/>
      <c r="N86" s="524">
        <v>0</v>
      </c>
      <c r="O86" s="524">
        <v>0</v>
      </c>
      <c r="P86" s="520">
        <v>0</v>
      </c>
      <c r="Q86" s="520">
        <v>16830.54191492913</v>
      </c>
      <c r="R86" s="525">
        <v>-4396.0498859011968</v>
      </c>
      <c r="S86" s="564" t="s">
        <v>82</v>
      </c>
      <c r="T86" s="528">
        <v>-4396.0498859011968</v>
      </c>
      <c r="U86" s="2240">
        <v>0</v>
      </c>
      <c r="V86" s="527">
        <v>-21226.591800830327</v>
      </c>
      <c r="W86" t="s">
        <v>1151</v>
      </c>
    </row>
    <row r="87" spans="1:23" ht="13">
      <c r="A87" s="465" t="s">
        <v>1152</v>
      </c>
      <c r="B87" s="203" t="s">
        <v>1082</v>
      </c>
      <c r="C87" s="439" t="s">
        <v>1222</v>
      </c>
      <c r="D87" s="420">
        <v>2018</v>
      </c>
      <c r="E87" s="520">
        <v>0</v>
      </c>
      <c r="F87" s="521">
        <v>0</v>
      </c>
      <c r="G87" s="521">
        <v>0</v>
      </c>
      <c r="H87" s="204"/>
      <c r="I87" s="520">
        <v>6467.2415613482881</v>
      </c>
      <c r="J87" s="522">
        <v>213414.21971250951</v>
      </c>
      <c r="K87" s="522">
        <v>227430.49380712264</v>
      </c>
      <c r="L87" s="523">
        <v>-14392.038415387156</v>
      </c>
      <c r="M87" s="524"/>
      <c r="N87" s="524">
        <v>0</v>
      </c>
      <c r="O87" s="524">
        <v>0</v>
      </c>
      <c r="P87" s="520">
        <v>0</v>
      </c>
      <c r="Q87" s="520">
        <v>5985.6198140724327</v>
      </c>
      <c r="R87" s="525">
        <v>-1563.4127191924026</v>
      </c>
      <c r="S87" s="564" t="s">
        <v>82</v>
      </c>
      <c r="T87" s="528">
        <v>-1563.4127191924026</v>
      </c>
      <c r="U87" s="2240">
        <v>0</v>
      </c>
      <c r="V87" s="527">
        <v>-7549.0325332648354</v>
      </c>
      <c r="W87" t="s">
        <v>1152</v>
      </c>
    </row>
    <row r="88" spans="1:23" ht="13">
      <c r="A88" s="465" t="s">
        <v>1260</v>
      </c>
      <c r="B88" s="203" t="s">
        <v>1082</v>
      </c>
      <c r="C88" s="439" t="s">
        <v>1263</v>
      </c>
      <c r="D88" s="420">
        <v>2019</v>
      </c>
      <c r="E88" s="523">
        <v>0</v>
      </c>
      <c r="F88" s="524">
        <v>0</v>
      </c>
      <c r="G88" s="524">
        <v>0</v>
      </c>
      <c r="H88" s="204"/>
      <c r="I88" s="523">
        <v>18491.776360861259</v>
      </c>
      <c r="J88" s="522">
        <v>1168494.5770259202</v>
      </c>
      <c r="K88" s="522">
        <v>1245237.0747457396</v>
      </c>
      <c r="L88" s="523">
        <v>-93779.452684367541</v>
      </c>
      <c r="M88" s="524"/>
      <c r="N88" s="524">
        <v>0</v>
      </c>
      <c r="O88" s="524">
        <v>0</v>
      </c>
      <c r="P88" s="523">
        <v>0</v>
      </c>
      <c r="Q88" s="523">
        <v>46186.934605698349</v>
      </c>
      <c r="R88" s="532">
        <v>-12063.786753259817</v>
      </c>
      <c r="S88" s="532" t="s">
        <v>82</v>
      </c>
      <c r="T88" s="534">
        <v>-12063.786753259817</v>
      </c>
      <c r="U88" s="2240">
        <v>0</v>
      </c>
      <c r="V88" s="527">
        <v>-58250.721358958166</v>
      </c>
      <c r="W88" t="s">
        <v>1260</v>
      </c>
    </row>
    <row r="89" spans="1:23" ht="13">
      <c r="A89" s="465" t="s">
        <v>1261</v>
      </c>
      <c r="B89" s="203" t="s">
        <v>1082</v>
      </c>
      <c r="C89" s="439" t="s">
        <v>1264</v>
      </c>
      <c r="D89" s="420">
        <v>2019</v>
      </c>
      <c r="E89" s="523">
        <v>0</v>
      </c>
      <c r="F89" s="524">
        <v>0</v>
      </c>
      <c r="G89" s="524">
        <v>0</v>
      </c>
      <c r="H89" s="204"/>
      <c r="I89" s="523">
        <v>17701.324890621356</v>
      </c>
      <c r="J89" s="522">
        <v>480147.95917487302</v>
      </c>
      <c r="K89" s="522">
        <v>511682.34058033867</v>
      </c>
      <c r="L89" s="523">
        <v>-30705.678037194884</v>
      </c>
      <c r="M89" s="524"/>
      <c r="N89" s="524">
        <v>0</v>
      </c>
      <c r="O89" s="524">
        <v>0</v>
      </c>
      <c r="P89" s="523">
        <v>0</v>
      </c>
      <c r="Q89" s="523">
        <v>10968.215701757794</v>
      </c>
      <c r="R89" s="532">
        <v>-2864.8408130865046</v>
      </c>
      <c r="S89" s="532" t="s">
        <v>82</v>
      </c>
      <c r="T89" s="534">
        <v>-2864.8408130865046</v>
      </c>
      <c r="U89" s="2240">
        <v>0</v>
      </c>
      <c r="V89" s="527">
        <v>-13833.056514844298</v>
      </c>
      <c r="W89" t="s">
        <v>1261</v>
      </c>
    </row>
    <row r="90" spans="1:23" ht="13">
      <c r="A90" s="465" t="s">
        <v>1262</v>
      </c>
      <c r="B90" s="203" t="s">
        <v>1082</v>
      </c>
      <c r="C90" s="439" t="s">
        <v>1265</v>
      </c>
      <c r="D90" s="420">
        <v>2019</v>
      </c>
      <c r="E90" s="523">
        <v>0</v>
      </c>
      <c r="F90" s="524">
        <v>0</v>
      </c>
      <c r="G90" s="524">
        <v>0</v>
      </c>
      <c r="H90" s="204"/>
      <c r="I90" s="523">
        <v>10605.938204814447</v>
      </c>
      <c r="J90" s="522">
        <v>363581.373477204</v>
      </c>
      <c r="K90" s="522">
        <v>387460.08312090673</v>
      </c>
      <c r="L90" s="523">
        <v>-32889.354740720126</v>
      </c>
      <c r="M90" s="524"/>
      <c r="N90" s="524">
        <v>0</v>
      </c>
      <c r="O90" s="524">
        <v>0</v>
      </c>
      <c r="P90" s="523">
        <v>0</v>
      </c>
      <c r="Q90" s="523">
        <v>10523.966264840736</v>
      </c>
      <c r="R90" s="532">
        <v>-2748.8051740475385</v>
      </c>
      <c r="S90" s="532"/>
      <c r="T90" s="534">
        <v>-2748.8051740475385</v>
      </c>
      <c r="U90" s="2240">
        <v>0</v>
      </c>
      <c r="V90" s="527">
        <v>-13272.771438888274</v>
      </c>
      <c r="W90" t="s">
        <v>1262</v>
      </c>
    </row>
    <row r="91" spans="1:23" ht="13">
      <c r="A91" s="438" t="s">
        <v>1912</v>
      </c>
      <c r="B91" s="203" t="s">
        <v>1082</v>
      </c>
      <c r="C91" s="439" t="s">
        <v>1913</v>
      </c>
      <c r="D91" s="420">
        <v>2024</v>
      </c>
      <c r="E91" s="523"/>
      <c r="F91" s="524"/>
      <c r="G91" s="524"/>
      <c r="H91" s="204"/>
      <c r="I91" s="523">
        <v>18383.268450253083</v>
      </c>
      <c r="J91" s="523">
        <v>219.09323232184698</v>
      </c>
      <c r="K91" s="523">
        <v>233.48248342533265</v>
      </c>
      <c r="L91" s="523"/>
      <c r="M91" s="524"/>
      <c r="N91" s="524"/>
      <c r="O91" s="524"/>
      <c r="P91" s="523"/>
      <c r="Q91" s="523">
        <v>-14564.664652356658</v>
      </c>
      <c r="R91" s="532">
        <v>3804.2145467929386</v>
      </c>
      <c r="S91" s="532"/>
      <c r="T91" s="534">
        <v>3804.2145467929386</v>
      </c>
      <c r="U91">
        <v>0</v>
      </c>
      <c r="V91" s="527">
        <v>18368.879199149596</v>
      </c>
    </row>
    <row r="92" spans="1:23" ht="13">
      <c r="A92" s="438" t="s">
        <v>1914</v>
      </c>
      <c r="B92" s="203" t="s">
        <v>1082</v>
      </c>
      <c r="C92" s="439" t="s">
        <v>1915</v>
      </c>
      <c r="D92" s="420">
        <v>2024</v>
      </c>
      <c r="E92" s="523"/>
      <c r="F92" s="524"/>
      <c r="G92" s="524"/>
      <c r="H92" s="204"/>
      <c r="I92" s="523">
        <v>780966.92014854506</v>
      </c>
      <c r="J92" s="523"/>
      <c r="K92" s="523">
        <v>0</v>
      </c>
      <c r="L92" s="523"/>
      <c r="M92" s="524"/>
      <c r="N92" s="524"/>
      <c r="O92" s="524"/>
      <c r="P92" s="523"/>
      <c r="Q92" s="523">
        <v>-619227.83492821665</v>
      </c>
      <c r="R92" s="532">
        <v>161739.08522032842</v>
      </c>
      <c r="S92" s="532"/>
      <c r="T92" s="534">
        <v>161739.08522032842</v>
      </c>
      <c r="U92">
        <v>0</v>
      </c>
      <c r="V92" s="527">
        <v>780966.92014854506</v>
      </c>
    </row>
    <row r="93" spans="1:23" ht="17.25" customHeight="1">
      <c r="A93" s="440" t="s">
        <v>1916</v>
      </c>
      <c r="B93" s="203" t="s">
        <v>1082</v>
      </c>
      <c r="C93" s="439" t="s">
        <v>1917</v>
      </c>
      <c r="D93" s="420">
        <v>2016</v>
      </c>
      <c r="E93" s="523"/>
      <c r="F93" s="524"/>
      <c r="G93" s="524"/>
      <c r="H93" s="204"/>
      <c r="I93" s="535">
        <v>4275475.9300917406</v>
      </c>
      <c r="J93" s="535"/>
      <c r="K93" s="523">
        <v>0</v>
      </c>
      <c r="L93" s="523"/>
      <c r="M93" s="524"/>
      <c r="N93" s="524"/>
      <c r="O93" s="524"/>
      <c r="P93" s="524"/>
      <c r="Q93" s="523">
        <v>-3390020.2878949614</v>
      </c>
      <c r="R93" s="532">
        <v>885455.64219677914</v>
      </c>
      <c r="S93" s="533"/>
      <c r="T93" s="534">
        <v>885455.64219677914</v>
      </c>
      <c r="U93">
        <v>0</v>
      </c>
      <c r="V93" s="527">
        <v>4275475.9300917406</v>
      </c>
    </row>
    <row r="94" spans="1:23" ht="13">
      <c r="A94" s="441"/>
      <c r="B94" s="204"/>
      <c r="C94" s="204"/>
      <c r="D94" s="203"/>
      <c r="E94" s="536"/>
      <c r="F94" s="536"/>
      <c r="G94" s="536"/>
      <c r="H94" s="532"/>
      <c r="I94" s="537"/>
      <c r="J94" s="537"/>
      <c r="K94" s="536"/>
      <c r="L94" s="536"/>
      <c r="M94" s="536"/>
      <c r="N94" s="536"/>
      <c r="O94" s="536"/>
      <c r="P94" s="536"/>
      <c r="Q94" s="536"/>
      <c r="R94" s="536"/>
      <c r="S94" s="532"/>
      <c r="T94" s="538"/>
      <c r="V94" s="539"/>
    </row>
    <row r="95" spans="1:23" ht="13.5" thickBot="1">
      <c r="A95" s="442"/>
      <c r="B95" s="443"/>
      <c r="C95" s="444" t="s">
        <v>568</v>
      </c>
      <c r="D95" s="445"/>
      <c r="E95" s="540">
        <f>SUM(E17:E94)</f>
        <v>0</v>
      </c>
      <c r="F95" s="540">
        <f>SUM(F17:F94)</f>
        <v>0</v>
      </c>
      <c r="G95" s="540">
        <f>SUM(G17:G94)</f>
        <v>0</v>
      </c>
      <c r="H95" s="540"/>
      <c r="I95" s="541">
        <f>SUM(I17:I94)</f>
        <v>4033065.4590345398</v>
      </c>
      <c r="J95" s="541">
        <f>SUM(J17:J94)</f>
        <v>79324253.917924985</v>
      </c>
      <c r="K95" s="540">
        <f>SUM(K17:K94)</f>
        <v>84533984.022892103</v>
      </c>
      <c r="L95" s="540"/>
      <c r="M95" s="540">
        <f>SUM(M17:M94)</f>
        <v>0</v>
      </c>
      <c r="N95" s="540">
        <f>SUM(N17:N94)</f>
        <v>0</v>
      </c>
      <c r="O95" s="540">
        <f>SUM(O17:O94)</f>
        <v>0</v>
      </c>
      <c r="P95" s="540"/>
      <c r="Q95" s="542">
        <f>-'SWEPCO WS N Sch 11 TU'!P64</f>
        <v>932976.13809149433</v>
      </c>
      <c r="R95" s="540">
        <f>SUM(R17:R94)</f>
        <v>-243688.50784106972</v>
      </c>
      <c r="S95" s="540"/>
      <c r="T95" s="543">
        <f>SUM(T17:T94)</f>
        <v>-243688.50784106972</v>
      </c>
      <c r="U95" s="543">
        <f>SUM(U17:U94)</f>
        <v>0</v>
      </c>
      <c r="V95" s="544">
        <f>SUM(V17:V94)</f>
        <v>-1176664.6459325636</v>
      </c>
      <c r="W95" s="545"/>
    </row>
    <row r="96" spans="1:23" ht="13.5" thickBot="1">
      <c r="A96" s="204"/>
      <c r="B96" s="204"/>
      <c r="C96" s="446"/>
      <c r="D96" s="204"/>
      <c r="E96" s="546"/>
      <c r="F96" s="547"/>
      <c r="G96" s="547"/>
      <c r="H96" s="204"/>
      <c r="I96" s="548"/>
      <c r="J96" s="549"/>
      <c r="K96" s="550"/>
      <c r="L96" s="550"/>
      <c r="M96" s="550"/>
      <c r="N96" s="550"/>
      <c r="O96" s="550"/>
      <c r="P96" s="550"/>
      <c r="Q96" s="551"/>
      <c r="R96" s="547"/>
      <c r="S96" s="547"/>
      <c r="T96" s="547"/>
      <c r="V96" s="552"/>
      <c r="W96" s="545"/>
    </row>
    <row r="97" spans="1:22" ht="13.5" thickBot="1">
      <c r="A97" s="204"/>
      <c r="B97" s="204"/>
      <c r="C97" s="449" t="s">
        <v>691</v>
      </c>
      <c r="D97" s="204"/>
      <c r="E97" s="447"/>
      <c r="F97" s="447"/>
      <c r="G97" s="447"/>
      <c r="H97" s="204"/>
      <c r="I97" s="541"/>
      <c r="J97" s="541"/>
      <c r="K97" s="540"/>
      <c r="L97" s="540"/>
      <c r="M97" s="540"/>
      <c r="N97" s="540"/>
      <c r="O97" s="540"/>
      <c r="P97" s="540"/>
      <c r="Q97" s="542"/>
      <c r="R97" s="540"/>
      <c r="S97" s="540"/>
      <c r="T97" s="2257"/>
      <c r="U97" s="2257"/>
      <c r="V97" s="544"/>
    </row>
    <row r="98" spans="1:22" ht="12.5">
      <c r="A98" s="204"/>
      <c r="B98" s="204"/>
      <c r="C98" s="449"/>
      <c r="D98" s="204"/>
      <c r="E98" s="447"/>
      <c r="F98" s="447"/>
      <c r="G98" s="447"/>
      <c r="H98" s="204"/>
      <c r="I98" s="450"/>
      <c r="J98" s="451"/>
      <c r="K98" s="2095"/>
      <c r="L98" s="204"/>
      <c r="M98" s="448"/>
      <c r="N98" s="448"/>
      <c r="O98" s="448"/>
      <c r="P98" s="448"/>
      <c r="Q98" s="452"/>
      <c r="R98" s="448"/>
      <c r="S98" s="204"/>
      <c r="T98" s="204"/>
    </row>
    <row r="99" spans="1:22" ht="15.5">
      <c r="E99" s="453"/>
      <c r="F99" s="453"/>
      <c r="G99" s="2258"/>
      <c r="I99" s="2228"/>
      <c r="J99" s="2228"/>
      <c r="K99" s="2228"/>
      <c r="L99" s="18"/>
      <c r="M99" s="2228"/>
      <c r="N99" s="2228"/>
      <c r="O99" s="2228"/>
      <c r="P99" s="2228"/>
      <c r="Q99" s="2228"/>
      <c r="R99" s="2228"/>
      <c r="S99" s="18"/>
      <c r="T99" s="2228"/>
      <c r="U99" s="2228"/>
      <c r="V99" s="2228"/>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Formula Rate
Schedule 11 Revenue Requirements
Southwestern Electric Power Company
Page: &amp;P of &amp;N
</oddHeader>
    <oddFooter>&amp;L&amp;A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X297"/>
  <sheetViews>
    <sheetView topLeftCell="A175" zoomScale="81" zoomScaleNormal="81" zoomScaleSheetLayoutView="100" zoomScalePageLayoutView="80" workbookViewId="0">
      <selection activeCell="H195" sqref="H195"/>
    </sheetView>
  </sheetViews>
  <sheetFormatPr defaultColWidth="8.81640625" defaultRowHeight="12.5"/>
  <cols>
    <col min="1" max="2" width="1.54296875" style="286" customWidth="1"/>
    <col min="3" max="3" width="11.54296875" style="286" customWidth="1"/>
    <col min="4" max="4" width="1.54296875" style="1336" customWidth="1"/>
    <col min="5" max="5" width="11" style="286" customWidth="1"/>
    <col min="6" max="6" width="1.54296875" style="286" customWidth="1"/>
    <col min="7" max="7" width="58" style="286" customWidth="1"/>
    <col min="8" max="8" width="17.453125" style="1337" bestFit="1" customWidth="1"/>
    <col min="9" max="9" width="14.1796875" style="286" customWidth="1"/>
    <col min="10" max="10" width="15" style="286" bestFit="1" customWidth="1"/>
    <col min="11" max="11" width="14.81640625" style="286" customWidth="1"/>
    <col min="12" max="12" width="14.453125" style="286" customWidth="1"/>
    <col min="13" max="14" width="13.54296875" style="286" customWidth="1"/>
    <col min="15" max="15" width="8.81640625" style="286"/>
    <col min="16" max="16" width="15" style="286" bestFit="1" customWidth="1"/>
    <col min="17" max="16384" width="8.81640625" style="286"/>
  </cols>
  <sheetData>
    <row r="1" spans="1:24" ht="15.5">
      <c r="A1" s="206"/>
    </row>
    <row r="2" spans="1:24" ht="20">
      <c r="A2" s="772"/>
      <c r="B2" s="773"/>
      <c r="D2" s="286"/>
      <c r="I2" s="1319"/>
      <c r="J2" s="1319"/>
      <c r="K2" s="1319"/>
      <c r="L2" s="1319"/>
      <c r="M2" s="1319"/>
      <c r="N2" s="36"/>
    </row>
    <row r="3" spans="1:24" ht="20.25" customHeight="1">
      <c r="A3" s="36"/>
      <c r="B3" s="127"/>
      <c r="C3" s="2292" t="str">
        <f>+'SWEPCO TCOS'!F4</f>
        <v xml:space="preserve">AEP West SPP Member Operating Companies </v>
      </c>
      <c r="D3" s="2292"/>
      <c r="E3" s="2292"/>
      <c r="F3" s="2292"/>
      <c r="G3" s="2292"/>
      <c r="H3" s="2292"/>
      <c r="I3" s="2292"/>
      <c r="J3" s="2292"/>
      <c r="K3" s="2292"/>
      <c r="L3" s="2292"/>
      <c r="M3" s="2292"/>
      <c r="N3" s="2292"/>
    </row>
    <row r="4" spans="1:24" ht="20.25" customHeight="1">
      <c r="C4" s="2405" t="str">
        <f>+'SWEPCO TCOS'!F8</f>
        <v>SOUTHWESTERN ELECTRIC POWER COMPANY</v>
      </c>
      <c r="D4" s="2405"/>
      <c r="E4" s="2405"/>
      <c r="F4" s="2405"/>
      <c r="G4" s="2405"/>
      <c r="H4" s="2405"/>
      <c r="I4" s="2405"/>
      <c r="J4" s="2405"/>
      <c r="K4" s="2405"/>
      <c r="L4" s="2405"/>
      <c r="M4" s="2405"/>
      <c r="N4" s="2405"/>
    </row>
    <row r="5" spans="1:24" ht="22.5" customHeight="1">
      <c r="C5" s="2405" t="s">
        <v>652</v>
      </c>
      <c r="D5" s="2405"/>
      <c r="E5" s="2405"/>
      <c r="F5" s="2405"/>
      <c r="G5" s="2405"/>
      <c r="H5" s="2405"/>
      <c r="I5" s="2405"/>
      <c r="J5" s="2405"/>
      <c r="K5" s="2405"/>
      <c r="L5" s="2405"/>
      <c r="M5" s="2405"/>
      <c r="N5" s="2405"/>
    </row>
    <row r="6" spans="1:24" ht="18" customHeight="1">
      <c r="C6" s="2295" t="str">
        <f>"AS OF DECEMBER 31, "&amp;'SWEPCO TCOS'!N2</f>
        <v>AS OF DECEMBER 31, 2024</v>
      </c>
      <c r="D6" s="2295"/>
      <c r="E6" s="2295"/>
      <c r="F6" s="2295"/>
      <c r="G6" s="2295"/>
      <c r="H6" s="2295"/>
      <c r="I6" s="2295"/>
      <c r="J6" s="2295"/>
      <c r="K6" s="2295"/>
      <c r="L6" s="2295"/>
      <c r="M6" s="2295"/>
      <c r="N6" s="2295"/>
    </row>
    <row r="7" spans="1:24">
      <c r="D7" s="286"/>
    </row>
    <row r="8" spans="1:24">
      <c r="D8" s="286"/>
      <c r="J8" s="2294" t="s">
        <v>152</v>
      </c>
      <c r="K8" s="2294"/>
      <c r="L8" s="2294"/>
      <c r="M8" s="2294"/>
      <c r="N8" s="2294"/>
    </row>
    <row r="9" spans="1:24" ht="26">
      <c r="C9" s="774" t="s">
        <v>390</v>
      </c>
      <c r="D9" s="33"/>
      <c r="E9" s="774" t="s">
        <v>153</v>
      </c>
      <c r="G9" s="774" t="s">
        <v>306</v>
      </c>
      <c r="H9" s="775" t="s">
        <v>316</v>
      </c>
      <c r="I9" s="48" t="s">
        <v>84</v>
      </c>
      <c r="J9" s="48" t="s">
        <v>154</v>
      </c>
      <c r="K9" s="48" t="s">
        <v>155</v>
      </c>
      <c r="L9" s="774" t="s">
        <v>156</v>
      </c>
      <c r="M9" s="774" t="s">
        <v>157</v>
      </c>
      <c r="N9" s="774" t="s">
        <v>300</v>
      </c>
      <c r="O9"/>
      <c r="P9" s="33" t="s">
        <v>1276</v>
      </c>
    </row>
    <row r="10" spans="1:24">
      <c r="C10" s="1809">
        <v>2821001</v>
      </c>
      <c r="D10" s="1339" t="s">
        <v>337</v>
      </c>
      <c r="E10" s="2215">
        <v>2006</v>
      </c>
      <c r="F10"/>
      <c r="G10" s="813" t="s">
        <v>1673</v>
      </c>
      <c r="H10" s="2455">
        <v>-5060989</v>
      </c>
      <c r="I10" s="1341" t="s">
        <v>291</v>
      </c>
      <c r="J10" s="1342">
        <f t="shared" ref="J10" si="0">IF(I10="e",H10," ")</f>
        <v>-5060989</v>
      </c>
      <c r="K10" s="1326" t="str">
        <f t="shared" ref="K10:K45" si="1">IF($I10="T",$H10," ")</f>
        <v xml:space="preserve"> </v>
      </c>
      <c r="L10" s="1326" t="str">
        <f t="shared" ref="L10:L45" si="2">IF($I10="PTD",$H10," ")</f>
        <v xml:space="preserve"> </v>
      </c>
      <c r="M10" s="1342" t="str">
        <f t="shared" ref="M10:M45" si="3">IF($I10="T&amp;D",$H10," ")</f>
        <v xml:space="preserve"> </v>
      </c>
      <c r="N10" s="1342" t="str">
        <f t="shared" ref="N10" si="4">IF(I10="Labor",H10," ")</f>
        <v xml:space="preserve"> </v>
      </c>
      <c r="P10"/>
      <c r="Q10"/>
      <c r="R10"/>
      <c r="S10"/>
      <c r="T10"/>
      <c r="U10"/>
      <c r="V10"/>
      <c r="W10"/>
      <c r="X10"/>
    </row>
    <row r="11" spans="1:24">
      <c r="C11" s="1809">
        <v>2821001</v>
      </c>
      <c r="D11" s="1339"/>
      <c r="E11" s="2215">
        <v>2010</v>
      </c>
      <c r="F11"/>
      <c r="G11" s="813" t="s">
        <v>1674</v>
      </c>
      <c r="H11" s="2455">
        <v>-256074919.66</v>
      </c>
      <c r="I11" s="1341" t="s">
        <v>1529</v>
      </c>
      <c r="J11" s="1340">
        <f>'SWEPCO WS C-4 Excess FIT'!E47</f>
        <v>-174887479.11239028</v>
      </c>
      <c r="K11" s="1340">
        <f>'SWEPCO WS C-4 Excess FIT'!E46</f>
        <v>-81187440.547609717</v>
      </c>
      <c r="L11" s="1353"/>
      <c r="M11" s="1342" t="str">
        <f t="shared" si="3"/>
        <v xml:space="preserve"> </v>
      </c>
      <c r="N11" s="1342" t="str">
        <f t="shared" ref="N11:N42" si="5">IF(I11="Labor",H11," ")</f>
        <v xml:space="preserve"> </v>
      </c>
      <c r="P11"/>
      <c r="Q11"/>
      <c r="R11"/>
      <c r="S11"/>
      <c r="T11"/>
      <c r="U11"/>
      <c r="V11"/>
      <c r="W11"/>
      <c r="X11"/>
    </row>
    <row r="12" spans="1:24">
      <c r="C12" s="1809">
        <v>2821001</v>
      </c>
      <c r="D12" s="1339" t="s">
        <v>337</v>
      </c>
      <c r="E12" s="2215">
        <v>2011</v>
      </c>
      <c r="F12"/>
      <c r="G12" s="813" t="s">
        <v>1675</v>
      </c>
      <c r="H12" s="2455">
        <v>-7402433.9100000001</v>
      </c>
      <c r="I12" s="1341" t="s">
        <v>1529</v>
      </c>
      <c r="J12" s="1340">
        <f>'SWEPCO WS C-4 Excess FIT'!F30</f>
        <v>-7402433.9100000001</v>
      </c>
      <c r="K12" s="1340">
        <f>'SWEPCO WS C-4 Excess FIT'!F29</f>
        <v>0</v>
      </c>
      <c r="L12" s="1326" t="str">
        <f t="shared" si="2"/>
        <v xml:space="preserve"> </v>
      </c>
      <c r="M12" s="1342" t="str">
        <f t="shared" si="3"/>
        <v xml:space="preserve"> </v>
      </c>
      <c r="N12" s="1342" t="str">
        <f t="shared" si="5"/>
        <v xml:space="preserve"> </v>
      </c>
      <c r="P12"/>
    </row>
    <row r="13" spans="1:24">
      <c r="C13" s="1809">
        <v>2821001</v>
      </c>
      <c r="D13" s="1339" t="s">
        <v>337</v>
      </c>
      <c r="E13" s="2215">
        <v>6002</v>
      </c>
      <c r="F13"/>
      <c r="G13" s="813" t="s">
        <v>1676</v>
      </c>
      <c r="H13" s="2455">
        <v>-57013846.149999999</v>
      </c>
      <c r="I13" s="1341" t="s">
        <v>158</v>
      </c>
      <c r="J13" s="1342" t="str">
        <f t="shared" ref="J13:J42" si="6">IF(I13="e",H13," ")</f>
        <v xml:space="preserve"> </v>
      </c>
      <c r="K13" s="1326" t="str">
        <f t="shared" si="1"/>
        <v xml:space="preserve"> </v>
      </c>
      <c r="L13" s="1326">
        <f t="shared" si="2"/>
        <v>-57013846.149999999</v>
      </c>
      <c r="M13" s="1342" t="str">
        <f t="shared" si="3"/>
        <v xml:space="preserve"> </v>
      </c>
      <c r="N13" s="1342" t="str">
        <f t="shared" si="5"/>
        <v xml:space="preserve"> </v>
      </c>
      <c r="P13"/>
    </row>
    <row r="14" spans="1:24">
      <c r="C14" s="1809">
        <v>2821001</v>
      </c>
      <c r="D14" s="1339"/>
      <c r="E14" s="2215">
        <v>6004</v>
      </c>
      <c r="F14"/>
      <c r="G14" s="813" t="s">
        <v>1677</v>
      </c>
      <c r="H14" s="2455">
        <v>-34181699.109999999</v>
      </c>
      <c r="I14" s="1341" t="s">
        <v>291</v>
      </c>
      <c r="J14" s="1342">
        <f t="shared" si="6"/>
        <v>-34181699.109999999</v>
      </c>
      <c r="K14" s="1326" t="str">
        <f t="shared" si="1"/>
        <v xml:space="preserve"> </v>
      </c>
      <c r="L14" s="1326" t="str">
        <f t="shared" si="2"/>
        <v xml:space="preserve"> </v>
      </c>
      <c r="M14" s="1342" t="str">
        <f t="shared" si="3"/>
        <v xml:space="preserve"> </v>
      </c>
      <c r="N14" s="1342" t="str">
        <f t="shared" si="5"/>
        <v xml:space="preserve"> </v>
      </c>
      <c r="P14"/>
    </row>
    <row r="15" spans="1:24">
      <c r="C15" s="1809">
        <v>2821001</v>
      </c>
      <c r="D15" s="1339"/>
      <c r="E15" s="2215">
        <v>6006</v>
      </c>
      <c r="F15"/>
      <c r="G15" s="813" t="s">
        <v>1678</v>
      </c>
      <c r="H15" s="2455">
        <v>-11545867.630000001</v>
      </c>
      <c r="I15" s="1341" t="s">
        <v>158</v>
      </c>
      <c r="J15" s="1342" t="str">
        <f t="shared" si="6"/>
        <v xml:space="preserve"> </v>
      </c>
      <c r="K15" s="1326" t="str">
        <f t="shared" si="1"/>
        <v xml:space="preserve"> </v>
      </c>
      <c r="L15" s="1326">
        <f t="shared" si="2"/>
        <v>-11545867.630000001</v>
      </c>
      <c r="M15" s="1342" t="str">
        <f t="shared" si="3"/>
        <v xml:space="preserve"> </v>
      </c>
      <c r="N15" s="1342" t="str">
        <f t="shared" si="5"/>
        <v xml:space="preserve"> </v>
      </c>
      <c r="P15"/>
    </row>
    <row r="16" spans="1:24">
      <c r="C16" s="1809">
        <v>2821001</v>
      </c>
      <c r="D16" s="1339"/>
      <c r="E16" s="2215">
        <v>6007</v>
      </c>
      <c r="F16"/>
      <c r="G16" s="813" t="s">
        <v>1679</v>
      </c>
      <c r="H16" s="2455">
        <v>14727203.470000001</v>
      </c>
      <c r="I16" s="1341" t="s">
        <v>291</v>
      </c>
      <c r="J16" s="1342">
        <f t="shared" si="6"/>
        <v>14727203.470000001</v>
      </c>
      <c r="K16" s="1326" t="str">
        <f t="shared" si="1"/>
        <v xml:space="preserve"> </v>
      </c>
      <c r="L16" s="1326" t="str">
        <f t="shared" si="2"/>
        <v xml:space="preserve"> </v>
      </c>
      <c r="M16" s="1342" t="str">
        <f t="shared" si="3"/>
        <v xml:space="preserve"> </v>
      </c>
      <c r="N16" s="1342" t="str">
        <f t="shared" si="5"/>
        <v xml:space="preserve"> </v>
      </c>
      <c r="P16"/>
    </row>
    <row r="17" spans="3:16">
      <c r="C17" s="1809">
        <v>2821001</v>
      </c>
      <c r="D17" s="1339"/>
      <c r="E17" s="2215">
        <v>6009</v>
      </c>
      <c r="F17"/>
      <c r="G17" s="813" t="s">
        <v>1680</v>
      </c>
      <c r="H17" s="2455">
        <v>-84920355.930000007</v>
      </c>
      <c r="I17" s="1341" t="s">
        <v>158</v>
      </c>
      <c r="J17" s="1342" t="str">
        <f t="shared" si="6"/>
        <v xml:space="preserve"> </v>
      </c>
      <c r="K17" s="1326" t="str">
        <f t="shared" si="1"/>
        <v xml:space="preserve"> </v>
      </c>
      <c r="L17" s="1326">
        <f t="shared" si="2"/>
        <v>-84920355.930000007</v>
      </c>
      <c r="M17" s="1342" t="str">
        <f t="shared" si="3"/>
        <v xml:space="preserve"> </v>
      </c>
      <c r="N17" s="1342" t="str">
        <f t="shared" si="5"/>
        <v xml:space="preserve"> </v>
      </c>
      <c r="P17"/>
    </row>
    <row r="18" spans="3:16">
      <c r="C18" s="1809">
        <v>2821001</v>
      </c>
      <c r="D18" s="1339"/>
      <c r="E18" s="2215">
        <v>6011</v>
      </c>
      <c r="F18"/>
      <c r="G18" s="813" t="s">
        <v>1681</v>
      </c>
      <c r="H18" s="2455">
        <v>88832239.75</v>
      </c>
      <c r="I18" s="1341" t="s">
        <v>158</v>
      </c>
      <c r="J18" s="1342" t="str">
        <f t="shared" si="6"/>
        <v xml:space="preserve"> </v>
      </c>
      <c r="K18" s="1326" t="str">
        <f t="shared" si="1"/>
        <v xml:space="preserve"> </v>
      </c>
      <c r="L18" s="1326">
        <f t="shared" si="2"/>
        <v>88832239.75</v>
      </c>
      <c r="M18" s="1342" t="str">
        <f t="shared" si="3"/>
        <v xml:space="preserve"> </v>
      </c>
      <c r="N18" s="1342" t="str">
        <f t="shared" si="5"/>
        <v xml:space="preserve"> </v>
      </c>
      <c r="P18"/>
    </row>
    <row r="19" spans="3:16">
      <c r="C19" s="1809">
        <v>2821001</v>
      </c>
      <c r="D19" s="1339"/>
      <c r="E19" s="2215">
        <v>6018</v>
      </c>
      <c r="F19"/>
      <c r="G19" s="813" t="s">
        <v>1682</v>
      </c>
      <c r="H19" s="2455">
        <v>-807316861.59000003</v>
      </c>
      <c r="I19" s="1341" t="s">
        <v>158</v>
      </c>
      <c r="J19" s="2454">
        <v>-4724111.1189666465</v>
      </c>
      <c r="K19" s="1326" t="str">
        <f t="shared" si="1"/>
        <v xml:space="preserve"> </v>
      </c>
      <c r="L19" s="2216">
        <f>H19-J19</f>
        <v>-802592750.47103333</v>
      </c>
      <c r="M19" s="1342" t="str">
        <f t="shared" si="3"/>
        <v xml:space="preserve"> </v>
      </c>
      <c r="N19" s="1342" t="str">
        <f t="shared" si="5"/>
        <v xml:space="preserve"> </v>
      </c>
      <c r="P19"/>
    </row>
    <row r="20" spans="3:16">
      <c r="C20" s="1809">
        <v>2821001</v>
      </c>
      <c r="D20" s="1339" t="s">
        <v>337</v>
      </c>
      <c r="E20" s="2215">
        <v>6021</v>
      </c>
      <c r="F20"/>
      <c r="G20" s="813" t="s">
        <v>1684</v>
      </c>
      <c r="H20" s="2455">
        <v>-10261766.970000001</v>
      </c>
      <c r="I20" s="1341" t="s">
        <v>291</v>
      </c>
      <c r="J20" s="1342">
        <f t="shared" si="6"/>
        <v>-10261766.970000001</v>
      </c>
      <c r="K20" s="1326" t="str">
        <f t="shared" si="1"/>
        <v xml:space="preserve"> </v>
      </c>
      <c r="L20" s="1326" t="str">
        <f t="shared" si="2"/>
        <v xml:space="preserve"> </v>
      </c>
      <c r="M20" s="1342" t="str">
        <f t="shared" si="3"/>
        <v xml:space="preserve"> </v>
      </c>
      <c r="N20" s="1342" t="str">
        <f t="shared" si="5"/>
        <v xml:space="preserve"> </v>
      </c>
      <c r="P20"/>
    </row>
    <row r="21" spans="3:16">
      <c r="C21" s="1809">
        <v>2821001</v>
      </c>
      <c r="D21" s="1339" t="s">
        <v>337</v>
      </c>
      <c r="E21" s="2215">
        <v>6022</v>
      </c>
      <c r="F21"/>
      <c r="G21" s="813" t="s">
        <v>1685</v>
      </c>
      <c r="H21" s="2455">
        <v>-9418201.0500000007</v>
      </c>
      <c r="I21" s="1341" t="s">
        <v>158</v>
      </c>
      <c r="J21" s="1342" t="str">
        <f t="shared" si="6"/>
        <v xml:space="preserve"> </v>
      </c>
      <c r="K21" s="1326" t="str">
        <f t="shared" si="1"/>
        <v xml:space="preserve"> </v>
      </c>
      <c r="L21" s="1326">
        <f t="shared" si="2"/>
        <v>-9418201.0500000007</v>
      </c>
      <c r="M21" s="1342" t="str">
        <f t="shared" si="3"/>
        <v xml:space="preserve"> </v>
      </c>
      <c r="N21" s="1342" t="str">
        <f t="shared" si="5"/>
        <v xml:space="preserve"> </v>
      </c>
      <c r="P21"/>
    </row>
    <row r="22" spans="3:16">
      <c r="C22" s="1809">
        <v>2821001</v>
      </c>
      <c r="D22" s="1339" t="s">
        <v>337</v>
      </c>
      <c r="E22" s="2215">
        <v>6024</v>
      </c>
      <c r="F22"/>
      <c r="G22" s="813" t="s">
        <v>1686</v>
      </c>
      <c r="H22" s="2455">
        <v>-205774013.19</v>
      </c>
      <c r="I22" s="1341" t="s">
        <v>158</v>
      </c>
      <c r="J22" s="1342" t="str">
        <f t="shared" si="6"/>
        <v xml:space="preserve"> </v>
      </c>
      <c r="K22" s="1326" t="str">
        <f t="shared" si="1"/>
        <v xml:space="preserve"> </v>
      </c>
      <c r="L22" s="1326">
        <f t="shared" si="2"/>
        <v>-205774013.19</v>
      </c>
      <c r="M22" s="1342" t="str">
        <f t="shared" si="3"/>
        <v xml:space="preserve"> </v>
      </c>
      <c r="N22" s="1342" t="str">
        <f t="shared" si="5"/>
        <v xml:space="preserve"> </v>
      </c>
      <c r="P22"/>
    </row>
    <row r="23" spans="3:16">
      <c r="C23" s="1809">
        <v>2821001</v>
      </c>
      <c r="D23" s="1339" t="s">
        <v>337</v>
      </c>
      <c r="E23" s="2215">
        <v>6026</v>
      </c>
      <c r="F23"/>
      <c r="G23" s="813" t="s">
        <v>1687</v>
      </c>
      <c r="H23" s="2455">
        <v>26891.5</v>
      </c>
      <c r="I23" s="1341" t="s">
        <v>300</v>
      </c>
      <c r="J23" s="1342" t="str">
        <f t="shared" si="6"/>
        <v xml:space="preserve"> </v>
      </c>
      <c r="K23" s="1326" t="str">
        <f t="shared" si="1"/>
        <v xml:space="preserve"> </v>
      </c>
      <c r="L23" s="1326" t="str">
        <f t="shared" si="2"/>
        <v xml:space="preserve"> </v>
      </c>
      <c r="M23" s="1342" t="str">
        <f t="shared" si="3"/>
        <v xml:space="preserve"> </v>
      </c>
      <c r="N23" s="1342">
        <f t="shared" si="5"/>
        <v>26891.5</v>
      </c>
      <c r="P23"/>
    </row>
    <row r="24" spans="3:16">
      <c r="C24" s="1809">
        <v>2821001</v>
      </c>
      <c r="D24" s="1339" t="s">
        <v>337</v>
      </c>
      <c r="E24" s="2215">
        <v>6503</v>
      </c>
      <c r="F24"/>
      <c r="G24" s="813" t="s">
        <v>1688</v>
      </c>
      <c r="H24" s="2455">
        <v>-0.63</v>
      </c>
      <c r="I24" s="1341" t="s">
        <v>291</v>
      </c>
      <c r="J24" s="1342">
        <f t="shared" si="6"/>
        <v>-0.63</v>
      </c>
      <c r="K24" s="1326" t="str">
        <f t="shared" si="1"/>
        <v xml:space="preserve"> </v>
      </c>
      <c r="L24" s="1326" t="str">
        <f t="shared" si="2"/>
        <v xml:space="preserve"> </v>
      </c>
      <c r="M24" s="1342" t="str">
        <f t="shared" si="3"/>
        <v xml:space="preserve"> </v>
      </c>
      <c r="N24" s="1342" t="str">
        <f t="shared" si="5"/>
        <v xml:space="preserve"> </v>
      </c>
      <c r="P24"/>
    </row>
    <row r="25" spans="3:16">
      <c r="C25" s="1809">
        <v>2821001</v>
      </c>
      <c r="D25" s="1339" t="s">
        <v>337</v>
      </c>
      <c r="E25" s="2215">
        <v>6507</v>
      </c>
      <c r="F25"/>
      <c r="G25" s="813" t="s">
        <v>1766</v>
      </c>
      <c r="H25" s="2455">
        <v>15538127.48</v>
      </c>
      <c r="I25" s="1341" t="s">
        <v>291</v>
      </c>
      <c r="J25" s="1342">
        <f t="shared" si="6"/>
        <v>15538127.48</v>
      </c>
      <c r="K25" s="1326" t="str">
        <f t="shared" si="1"/>
        <v xml:space="preserve"> </v>
      </c>
      <c r="L25" s="1326" t="str">
        <f t="shared" si="2"/>
        <v xml:space="preserve"> </v>
      </c>
      <c r="M25" s="1342" t="str">
        <f t="shared" si="3"/>
        <v xml:space="preserve"> </v>
      </c>
      <c r="N25" s="1342" t="str">
        <f t="shared" si="5"/>
        <v xml:space="preserve"> </v>
      </c>
      <c r="P25"/>
    </row>
    <row r="26" spans="3:16">
      <c r="C26" s="1809">
        <v>2821001</v>
      </c>
      <c r="D26" s="1339" t="s">
        <v>337</v>
      </c>
      <c r="E26" s="2215">
        <v>6508</v>
      </c>
      <c r="F26"/>
      <c r="G26" s="813" t="s">
        <v>1767</v>
      </c>
      <c r="H26" s="2455">
        <v>2960475.84</v>
      </c>
      <c r="I26" s="1341" t="s">
        <v>291</v>
      </c>
      <c r="J26" s="1342">
        <f t="shared" si="6"/>
        <v>2960475.84</v>
      </c>
      <c r="K26" s="1326" t="str">
        <f t="shared" si="1"/>
        <v xml:space="preserve"> </v>
      </c>
      <c r="L26" s="1326" t="str">
        <f t="shared" si="2"/>
        <v xml:space="preserve"> </v>
      </c>
      <c r="M26" s="1342" t="str">
        <f t="shared" si="3"/>
        <v xml:space="preserve"> </v>
      </c>
      <c r="N26" s="1342" t="str">
        <f t="shared" si="5"/>
        <v xml:space="preserve"> </v>
      </c>
      <c r="P26"/>
    </row>
    <row r="27" spans="3:16">
      <c r="C27" s="1809">
        <v>2821001</v>
      </c>
      <c r="D27" s="1339" t="s">
        <v>337</v>
      </c>
      <c r="E27" s="2215">
        <v>6509</v>
      </c>
      <c r="F27"/>
      <c r="G27" s="813" t="s">
        <v>1768</v>
      </c>
      <c r="H27" s="2455">
        <v>2326437.4300000002</v>
      </c>
      <c r="I27" s="1341" t="s">
        <v>291</v>
      </c>
      <c r="J27" s="1342">
        <f t="shared" si="6"/>
        <v>2326437.4300000002</v>
      </c>
      <c r="K27" s="1326" t="str">
        <f t="shared" si="1"/>
        <v xml:space="preserve"> </v>
      </c>
      <c r="L27" s="1326" t="str">
        <f t="shared" si="2"/>
        <v xml:space="preserve"> </v>
      </c>
      <c r="M27" s="1342" t="str">
        <f t="shared" si="3"/>
        <v xml:space="preserve"> </v>
      </c>
      <c r="N27" s="1342" t="str">
        <f t="shared" si="5"/>
        <v xml:space="preserve"> </v>
      </c>
      <c r="P27"/>
    </row>
    <row r="28" spans="3:16">
      <c r="C28" s="1809">
        <v>2821001</v>
      </c>
      <c r="D28" s="1339" t="s">
        <v>337</v>
      </c>
      <c r="E28" s="2215">
        <v>6510</v>
      </c>
      <c r="F28"/>
      <c r="G28" s="813" t="s">
        <v>1769</v>
      </c>
      <c r="H28" s="2455">
        <v>861751.19</v>
      </c>
      <c r="I28" s="1341" t="s">
        <v>291</v>
      </c>
      <c r="J28" s="1342">
        <f t="shared" si="6"/>
        <v>861751.19</v>
      </c>
      <c r="K28" s="1326" t="str">
        <f t="shared" si="1"/>
        <v xml:space="preserve"> </v>
      </c>
      <c r="L28" s="1326" t="str">
        <f t="shared" si="2"/>
        <v xml:space="preserve"> </v>
      </c>
      <c r="M28" s="1342" t="str">
        <f t="shared" si="3"/>
        <v xml:space="preserve"> </v>
      </c>
      <c r="N28" s="1342" t="str">
        <f t="shared" si="5"/>
        <v xml:space="preserve"> </v>
      </c>
      <c r="P28"/>
    </row>
    <row r="29" spans="3:16">
      <c r="C29" s="1809">
        <v>2821001</v>
      </c>
      <c r="D29" s="1339"/>
      <c r="E29" s="2215">
        <v>6511</v>
      </c>
      <c r="F29"/>
      <c r="G29" s="813" t="s">
        <v>1770</v>
      </c>
      <c r="H29" s="2455">
        <v>-100874.6</v>
      </c>
      <c r="I29" s="1341" t="s">
        <v>291</v>
      </c>
      <c r="J29" s="1342">
        <f t="shared" si="6"/>
        <v>-100874.6</v>
      </c>
      <c r="K29" s="1326" t="str">
        <f t="shared" si="1"/>
        <v xml:space="preserve"> </v>
      </c>
      <c r="L29" s="1326" t="str">
        <f t="shared" si="2"/>
        <v xml:space="preserve"> </v>
      </c>
      <c r="M29" s="1342" t="str">
        <f t="shared" si="3"/>
        <v xml:space="preserve"> </v>
      </c>
      <c r="N29" s="1342" t="str">
        <f t="shared" si="5"/>
        <v xml:space="preserve"> </v>
      </c>
      <c r="P29"/>
    </row>
    <row r="30" spans="3:16">
      <c r="C30" s="1809">
        <v>2821001</v>
      </c>
      <c r="D30" s="1339" t="s">
        <v>337</v>
      </c>
      <c r="E30" s="2215">
        <v>6512</v>
      </c>
      <c r="F30"/>
      <c r="G30" s="813" t="s">
        <v>1771</v>
      </c>
      <c r="H30" s="2455">
        <v>-213870.55</v>
      </c>
      <c r="I30" s="1341" t="s">
        <v>291</v>
      </c>
      <c r="J30" s="1342">
        <f t="shared" si="6"/>
        <v>-213870.55</v>
      </c>
      <c r="K30" s="1326" t="str">
        <f t="shared" si="1"/>
        <v xml:space="preserve"> </v>
      </c>
      <c r="L30" s="1326" t="str">
        <f t="shared" si="2"/>
        <v xml:space="preserve"> </v>
      </c>
      <c r="M30" s="1342" t="str">
        <f t="shared" si="3"/>
        <v xml:space="preserve"> </v>
      </c>
      <c r="N30" s="1342" t="str">
        <f t="shared" si="5"/>
        <v xml:space="preserve"> </v>
      </c>
      <c r="P30"/>
    </row>
    <row r="31" spans="3:16">
      <c r="C31" s="1809">
        <v>2821001</v>
      </c>
      <c r="D31" s="1339" t="s">
        <v>337</v>
      </c>
      <c r="E31" s="2215">
        <v>6513</v>
      </c>
      <c r="F31"/>
      <c r="G31" s="813" t="s">
        <v>1772</v>
      </c>
      <c r="H31" s="2455">
        <v>43352.76</v>
      </c>
      <c r="I31" s="1341" t="s">
        <v>291</v>
      </c>
      <c r="J31" s="1342">
        <f t="shared" si="6"/>
        <v>43352.76</v>
      </c>
      <c r="K31" s="1326" t="str">
        <f t="shared" si="1"/>
        <v xml:space="preserve"> </v>
      </c>
      <c r="L31" s="1326" t="str">
        <f t="shared" si="2"/>
        <v xml:space="preserve"> </v>
      </c>
      <c r="M31" s="1342" t="str">
        <f t="shared" si="3"/>
        <v xml:space="preserve"> </v>
      </c>
      <c r="N31" s="1342" t="str">
        <f t="shared" si="5"/>
        <v xml:space="preserve"> </v>
      </c>
      <c r="P31"/>
    </row>
    <row r="32" spans="3:16">
      <c r="C32" s="1809">
        <v>2821001</v>
      </c>
      <c r="D32" s="1339" t="s">
        <v>337</v>
      </c>
      <c r="E32" s="2215">
        <v>6514</v>
      </c>
      <c r="F32"/>
      <c r="G32" s="813" t="s">
        <v>1773</v>
      </c>
      <c r="H32" s="2455">
        <v>33214.07</v>
      </c>
      <c r="I32" s="1341" t="s">
        <v>291</v>
      </c>
      <c r="J32" s="1342">
        <f t="shared" si="6"/>
        <v>33214.07</v>
      </c>
      <c r="K32" s="1326" t="str">
        <f t="shared" si="1"/>
        <v xml:space="preserve"> </v>
      </c>
      <c r="L32" s="1326" t="str">
        <f t="shared" si="2"/>
        <v xml:space="preserve"> </v>
      </c>
      <c r="M32" s="1342" t="str">
        <f t="shared" si="3"/>
        <v xml:space="preserve"> </v>
      </c>
      <c r="N32" s="1342" t="str">
        <f t="shared" si="5"/>
        <v xml:space="preserve"> </v>
      </c>
      <c r="P32"/>
    </row>
    <row r="33" spans="3:17">
      <c r="C33" s="1809">
        <v>2821001</v>
      </c>
      <c r="D33" s="1339" t="s">
        <v>337</v>
      </c>
      <c r="E33" s="2215">
        <v>6515</v>
      </c>
      <c r="F33"/>
      <c r="G33" s="813" t="s">
        <v>1774</v>
      </c>
      <c r="H33" s="2455">
        <v>59094.06</v>
      </c>
      <c r="I33" s="1341" t="s">
        <v>291</v>
      </c>
      <c r="J33" s="1342">
        <f t="shared" si="6"/>
        <v>59094.06</v>
      </c>
      <c r="K33" s="1326" t="str">
        <f t="shared" si="1"/>
        <v xml:space="preserve"> </v>
      </c>
      <c r="L33" s="1326" t="str">
        <f t="shared" si="2"/>
        <v xml:space="preserve"> </v>
      </c>
      <c r="M33" s="1342" t="str">
        <f t="shared" si="3"/>
        <v xml:space="preserve"> </v>
      </c>
      <c r="N33" s="1342" t="str">
        <f t="shared" si="5"/>
        <v xml:space="preserve"> </v>
      </c>
      <c r="P33"/>
    </row>
    <row r="34" spans="3:17">
      <c r="C34" s="1809">
        <v>2821001</v>
      </c>
      <c r="D34" s="1339" t="s">
        <v>337</v>
      </c>
      <c r="E34" s="2215">
        <v>6516</v>
      </c>
      <c r="F34"/>
      <c r="G34" s="813" t="s">
        <v>1775</v>
      </c>
      <c r="H34" s="2455">
        <v>586321.56000000006</v>
      </c>
      <c r="I34" s="1341" t="s">
        <v>291</v>
      </c>
      <c r="J34" s="1342">
        <f t="shared" si="6"/>
        <v>586321.56000000006</v>
      </c>
      <c r="K34" s="1326" t="str">
        <f t="shared" si="1"/>
        <v xml:space="preserve"> </v>
      </c>
      <c r="L34" s="1326" t="str">
        <f t="shared" si="2"/>
        <v xml:space="preserve"> </v>
      </c>
      <c r="M34" s="1342" t="str">
        <f t="shared" si="3"/>
        <v xml:space="preserve"> </v>
      </c>
      <c r="N34" s="1342" t="str">
        <f t="shared" si="5"/>
        <v xml:space="preserve"> </v>
      </c>
      <c r="P34"/>
    </row>
    <row r="35" spans="3:17">
      <c r="C35" s="1809">
        <v>2821001</v>
      </c>
      <c r="D35" s="1339" t="s">
        <v>337</v>
      </c>
      <c r="E35" s="2215">
        <v>6517</v>
      </c>
      <c r="F35"/>
      <c r="G35" s="813" t="s">
        <v>1776</v>
      </c>
      <c r="H35" s="2455">
        <v>1522621.08</v>
      </c>
      <c r="I35" s="1341" t="s">
        <v>291</v>
      </c>
      <c r="J35" s="1342">
        <f t="shared" si="6"/>
        <v>1522621.08</v>
      </c>
      <c r="K35" s="1326" t="str">
        <f t="shared" si="1"/>
        <v xml:space="preserve"> </v>
      </c>
      <c r="L35" s="1326" t="str">
        <f t="shared" si="2"/>
        <v xml:space="preserve"> </v>
      </c>
      <c r="M35" s="1342" t="str">
        <f t="shared" si="3"/>
        <v xml:space="preserve"> </v>
      </c>
      <c r="N35" s="1342" t="str">
        <f t="shared" si="5"/>
        <v xml:space="preserve"> </v>
      </c>
      <c r="P35"/>
    </row>
    <row r="36" spans="3:17">
      <c r="C36" s="1809">
        <v>2821001</v>
      </c>
      <c r="D36" s="1339" t="s">
        <v>337</v>
      </c>
      <c r="E36" s="2215">
        <v>6518</v>
      </c>
      <c r="G36" s="813" t="s">
        <v>1777</v>
      </c>
      <c r="H36" s="2455">
        <v>636252.51</v>
      </c>
      <c r="I36" s="1341" t="s">
        <v>1863</v>
      </c>
      <c r="J36" s="1342">
        <f t="shared" si="6"/>
        <v>636252.51</v>
      </c>
      <c r="K36" s="1326" t="str">
        <f t="shared" si="1"/>
        <v xml:space="preserve"> </v>
      </c>
      <c r="L36" s="1326" t="str">
        <f t="shared" si="2"/>
        <v xml:space="preserve"> </v>
      </c>
      <c r="M36" s="1342" t="str">
        <f t="shared" si="3"/>
        <v xml:space="preserve"> </v>
      </c>
      <c r="N36" s="1342" t="str">
        <f t="shared" si="5"/>
        <v xml:space="preserve"> </v>
      </c>
      <c r="P36"/>
    </row>
    <row r="37" spans="3:17">
      <c r="C37" s="1809">
        <v>2821001</v>
      </c>
      <c r="D37" s="1339" t="s">
        <v>337</v>
      </c>
      <c r="E37" s="2215">
        <v>6519</v>
      </c>
      <c r="G37" s="813" t="s">
        <v>1778</v>
      </c>
      <c r="H37" s="2455">
        <v>6117.3</v>
      </c>
      <c r="I37" s="1341" t="s">
        <v>1863</v>
      </c>
      <c r="J37" s="1342">
        <f t="shared" si="6"/>
        <v>6117.3</v>
      </c>
      <c r="K37" s="1326" t="str">
        <f t="shared" si="1"/>
        <v xml:space="preserve"> </v>
      </c>
      <c r="L37" s="1326" t="str">
        <f t="shared" si="2"/>
        <v xml:space="preserve"> </v>
      </c>
      <c r="M37" s="1342" t="str">
        <f t="shared" si="3"/>
        <v xml:space="preserve"> </v>
      </c>
      <c r="N37" s="1342" t="str">
        <f t="shared" si="5"/>
        <v xml:space="preserve"> </v>
      </c>
      <c r="P37"/>
    </row>
    <row r="38" spans="3:17">
      <c r="C38" s="1809">
        <v>2821001</v>
      </c>
      <c r="D38" s="1339"/>
      <c r="E38" s="2215">
        <v>6520</v>
      </c>
      <c r="G38" s="813" t="s">
        <v>1779</v>
      </c>
      <c r="H38" s="2455">
        <v>53637.05</v>
      </c>
      <c r="I38" s="1341" t="s">
        <v>291</v>
      </c>
      <c r="J38" s="1342">
        <f t="shared" si="6"/>
        <v>53637.05</v>
      </c>
      <c r="K38" s="1326" t="str">
        <f t="shared" si="1"/>
        <v xml:space="preserve"> </v>
      </c>
      <c r="L38" s="1326" t="str">
        <f t="shared" si="2"/>
        <v xml:space="preserve"> </v>
      </c>
      <c r="M38" s="1342" t="str">
        <f t="shared" si="3"/>
        <v xml:space="preserve"> </v>
      </c>
      <c r="N38" s="1342" t="str">
        <f t="shared" si="5"/>
        <v xml:space="preserve"> </v>
      </c>
      <c r="P38"/>
    </row>
    <row r="39" spans="3:17">
      <c r="C39" s="1809">
        <v>2821001</v>
      </c>
      <c r="D39" s="1339"/>
      <c r="E39" s="2215">
        <v>6521</v>
      </c>
      <c r="G39" s="813" t="s">
        <v>1780</v>
      </c>
      <c r="H39" s="2455">
        <v>68778.28</v>
      </c>
      <c r="I39" s="1341" t="s">
        <v>291</v>
      </c>
      <c r="J39" s="1342">
        <f t="shared" si="6"/>
        <v>68778.28</v>
      </c>
      <c r="K39" s="1326" t="str">
        <f t="shared" si="1"/>
        <v xml:space="preserve"> </v>
      </c>
      <c r="L39" s="1326" t="str">
        <f t="shared" si="2"/>
        <v xml:space="preserve"> </v>
      </c>
      <c r="M39" s="1342" t="str">
        <f t="shared" si="3"/>
        <v xml:space="preserve"> </v>
      </c>
      <c r="N39" s="1342" t="str">
        <f t="shared" si="5"/>
        <v xml:space="preserve"> </v>
      </c>
      <c r="P39"/>
    </row>
    <row r="40" spans="3:17">
      <c r="C40" s="1809">
        <v>2821001</v>
      </c>
      <c r="D40" s="1339" t="s">
        <v>337</v>
      </c>
      <c r="E40" s="2215">
        <v>6523</v>
      </c>
      <c r="G40" s="813" t="s">
        <v>1689</v>
      </c>
      <c r="H40" s="2455">
        <v>9699175.9199999999</v>
      </c>
      <c r="I40" s="1341" t="s">
        <v>300</v>
      </c>
      <c r="J40" s="1342" t="str">
        <f t="shared" si="6"/>
        <v xml:space="preserve"> </v>
      </c>
      <c r="K40" s="1326" t="str">
        <f t="shared" si="1"/>
        <v xml:space="preserve"> </v>
      </c>
      <c r="L40" s="1326" t="str">
        <f t="shared" si="2"/>
        <v xml:space="preserve"> </v>
      </c>
      <c r="M40" s="1342" t="str">
        <f t="shared" si="3"/>
        <v xml:space="preserve"> </v>
      </c>
      <c r="N40" s="1342">
        <f t="shared" si="5"/>
        <v>9699175.9199999999</v>
      </c>
      <c r="P40"/>
    </row>
    <row r="41" spans="3:17">
      <c r="C41" s="1809">
        <v>2821001</v>
      </c>
      <c r="D41" s="1339" t="s">
        <v>337</v>
      </c>
      <c r="E41" s="2215">
        <v>7585</v>
      </c>
      <c r="G41" s="813" t="s">
        <v>1690</v>
      </c>
      <c r="H41" s="2455">
        <v>-29542161.77</v>
      </c>
      <c r="I41" s="1341" t="s">
        <v>291</v>
      </c>
      <c r="J41" s="1342">
        <f t="shared" si="6"/>
        <v>-29542161.77</v>
      </c>
      <c r="K41" s="1326" t="str">
        <f t="shared" si="1"/>
        <v xml:space="preserve"> </v>
      </c>
      <c r="L41" s="1326" t="str">
        <f t="shared" si="2"/>
        <v xml:space="preserve"> </v>
      </c>
      <c r="M41" s="1342" t="str">
        <f t="shared" si="3"/>
        <v xml:space="preserve"> </v>
      </c>
      <c r="N41" s="1342" t="str">
        <f t="shared" si="5"/>
        <v xml:space="preserve"> </v>
      </c>
      <c r="P41"/>
    </row>
    <row r="42" spans="3:17">
      <c r="C42" s="1809">
        <v>2821001</v>
      </c>
      <c r="D42" s="1339" t="s">
        <v>337</v>
      </c>
      <c r="E42" s="2215">
        <v>8004</v>
      </c>
      <c r="G42" s="813" t="s">
        <v>1691</v>
      </c>
      <c r="H42" s="2455">
        <v>-0.21</v>
      </c>
      <c r="I42" s="1341" t="s">
        <v>158</v>
      </c>
      <c r="J42" s="1342" t="str">
        <f t="shared" si="6"/>
        <v xml:space="preserve"> </v>
      </c>
      <c r="K42" s="1326" t="str">
        <f t="shared" si="1"/>
        <v xml:space="preserve"> </v>
      </c>
      <c r="L42" s="1326">
        <f t="shared" si="2"/>
        <v>-0.21</v>
      </c>
      <c r="M42" s="1342" t="str">
        <f t="shared" si="3"/>
        <v xml:space="preserve"> </v>
      </c>
      <c r="N42" s="1342" t="str">
        <f t="shared" si="5"/>
        <v xml:space="preserve"> </v>
      </c>
      <c r="P42"/>
    </row>
    <row r="43" spans="3:17">
      <c r="C43" s="1809">
        <v>2821001</v>
      </c>
      <c r="D43" s="1344"/>
      <c r="E43" s="1338" t="s">
        <v>1269</v>
      </c>
      <c r="F43" s="778"/>
      <c r="G43" s="813" t="s">
        <v>1285</v>
      </c>
      <c r="H43" s="2455">
        <v>42930465.772052586</v>
      </c>
      <c r="I43" s="1341" t="s">
        <v>1286</v>
      </c>
      <c r="J43" s="1340">
        <f>H43-K43</f>
        <v>10476162.187711742</v>
      </c>
      <c r="K43" s="2455">
        <v>32454303.584340844</v>
      </c>
      <c r="L43"/>
      <c r="M43"/>
      <c r="N43"/>
      <c r="O43"/>
      <c r="P43"/>
    </row>
    <row r="44" spans="3:17">
      <c r="C44" s="1809">
        <v>2821001</v>
      </c>
      <c r="D44" s="1344"/>
      <c r="E44" s="1338" t="s">
        <v>1269</v>
      </c>
      <c r="F44" s="778"/>
      <c r="G44" s="813" t="s">
        <v>1285</v>
      </c>
      <c r="H44" s="1340">
        <f>-H43</f>
        <v>-42930465.772052586</v>
      </c>
      <c r="I44" s="1341" t="s">
        <v>291</v>
      </c>
      <c r="J44" s="1340">
        <f>H44</f>
        <v>-42930465.772052586</v>
      </c>
      <c r="K44" s="1326"/>
      <c r="L44" s="1326"/>
      <c r="M44" s="1342"/>
      <c r="N44" s="1342"/>
      <c r="O44"/>
      <c r="P44"/>
    </row>
    <row r="45" spans="3:17" ht="13">
      <c r="C45" s="1338"/>
      <c r="D45" s="1339"/>
      <c r="E45" s="1338"/>
      <c r="G45" s="1343"/>
      <c r="H45" s="1340"/>
      <c r="I45" s="1341"/>
      <c r="J45" s="1342" t="str">
        <f t="shared" ref="J45" si="7">IF(I45="e",H45," ")</f>
        <v xml:space="preserve"> </v>
      </c>
      <c r="K45" s="1326" t="str">
        <f t="shared" si="1"/>
        <v xml:space="preserve"> </v>
      </c>
      <c r="L45" s="1326" t="str">
        <f t="shared" si="2"/>
        <v xml:space="preserve"> </v>
      </c>
      <c r="M45" s="1342" t="str">
        <f t="shared" si="3"/>
        <v xml:space="preserve"> </v>
      </c>
      <c r="N45" s="1342" t="str">
        <f t="shared" ref="N45" si="8">IF(I45="Labor",H45," ")</f>
        <v xml:space="preserve"> </v>
      </c>
      <c r="O45" s="782"/>
      <c r="P45"/>
    </row>
    <row r="46" spans="3:17" ht="13">
      <c r="C46" s="33">
        <v>282.10000000000002</v>
      </c>
      <c r="D46" s="286"/>
      <c r="G46" s="561" t="s">
        <v>159</v>
      </c>
      <c r="H46" s="790">
        <f>SUM(H10:H45)</f>
        <v>-1380846170.7000003</v>
      </c>
      <c r="I46" s="1326"/>
      <c r="J46" s="790">
        <f>SUM(J10:J45)</f>
        <v>-259406306.27569774</v>
      </c>
      <c r="K46" s="790">
        <f>SUM(K10:K45)</f>
        <v>-48733136.963268876</v>
      </c>
      <c r="L46" s="790">
        <f>SUM(L10:L45)</f>
        <v>-1082432794.8810334</v>
      </c>
      <c r="M46" s="790">
        <f>SUM(M10:M45)</f>
        <v>0</v>
      </c>
      <c r="N46" s="790">
        <f>SUM(N10:N45)</f>
        <v>9726067.4199999999</v>
      </c>
      <c r="O46" s="782"/>
      <c r="P46" s="1326">
        <f>SUM(J46:O46)</f>
        <v>-1380846170.6999998</v>
      </c>
      <c r="Q46" s="1326"/>
    </row>
    <row r="47" spans="3:17" ht="25">
      <c r="G47" s="1346" t="s">
        <v>169</v>
      </c>
      <c r="H47" s="1340">
        <v>-1380846171</v>
      </c>
      <c r="I47"/>
      <c r="J47" s="1347"/>
      <c r="K47" s="1326"/>
      <c r="L47" s="1326"/>
      <c r="M47" s="1326"/>
      <c r="N47" s="1326"/>
    </row>
    <row r="48" spans="3:17">
      <c r="H48" s="1348"/>
      <c r="I48" s="1326"/>
      <c r="J48" s="1326"/>
      <c r="K48" s="1326"/>
      <c r="L48" s="1326"/>
      <c r="M48" s="1326"/>
      <c r="N48" s="1326"/>
    </row>
    <row r="49" spans="3:16">
      <c r="H49" s="1348"/>
      <c r="I49" s="1326"/>
      <c r="J49" s="1326"/>
      <c r="K49" s="1326"/>
      <c r="L49" s="1326"/>
      <c r="M49" s="1326"/>
      <c r="N49" s="1326"/>
    </row>
    <row r="50" spans="3:16">
      <c r="C50" s="1806">
        <v>2831001</v>
      </c>
      <c r="D50" s="1349" t="s">
        <v>337</v>
      </c>
      <c r="E50" s="1806">
        <v>2007</v>
      </c>
      <c r="F50" s="778"/>
      <c r="G50" s="777" t="s">
        <v>1694</v>
      </c>
      <c r="H50" s="779">
        <v>193764</v>
      </c>
      <c r="I50" s="780" t="s">
        <v>291</v>
      </c>
      <c r="J50" s="1342">
        <f t="shared" ref="J50" si="9">IF(I50="e",H50," ")</f>
        <v>193764</v>
      </c>
      <c r="K50" s="1326" t="str">
        <f t="shared" ref="K50:K118" si="10">IF($I50="T",$H50," ")</f>
        <v xml:space="preserve"> </v>
      </c>
      <c r="L50" s="1326" t="str">
        <f t="shared" ref="L50:L118" si="11">IF($I50="PTD",$H50," ")</f>
        <v xml:space="preserve"> </v>
      </c>
      <c r="M50" s="1342" t="str">
        <f t="shared" ref="M50:M118" si="12">IF($I50="T&amp;D",$H50," ")</f>
        <v xml:space="preserve"> </v>
      </c>
      <c r="N50" s="1342" t="str">
        <f t="shared" ref="N50" si="13">IF(I50="Labor",H50," ")</f>
        <v xml:space="preserve"> </v>
      </c>
      <c r="P50"/>
    </row>
    <row r="51" spans="3:16">
      <c r="C51" s="1806">
        <v>2831001</v>
      </c>
      <c r="D51" s="1349" t="s">
        <v>337</v>
      </c>
      <c r="E51" s="1806">
        <v>2012</v>
      </c>
      <c r="F51" s="778"/>
      <c r="G51" s="777" t="s">
        <v>1696</v>
      </c>
      <c r="H51" s="779">
        <v>2078035.61</v>
      </c>
      <c r="I51" s="780" t="s">
        <v>1529</v>
      </c>
      <c r="J51" s="780">
        <f>'SWEPCO WS C-4 Excess FIT'!G30</f>
        <v>2078035.61</v>
      </c>
      <c r="K51" s="780">
        <f>'SWEPCO WS C-4 Excess FIT'!G29</f>
        <v>0</v>
      </c>
      <c r="L51" s="1326" t="str">
        <f t="shared" si="11"/>
        <v xml:space="preserve"> </v>
      </c>
      <c r="M51" s="1342" t="str">
        <f t="shared" si="12"/>
        <v xml:space="preserve"> </v>
      </c>
      <c r="N51" s="1342" t="str">
        <f t="shared" ref="N51:N119" si="14">IF(I51="Labor",H51," ")</f>
        <v xml:space="preserve"> </v>
      </c>
      <c r="P51"/>
    </row>
    <row r="52" spans="3:16">
      <c r="C52" s="1806">
        <v>2831001</v>
      </c>
      <c r="D52" s="1349" t="s">
        <v>337</v>
      </c>
      <c r="E52" s="1806">
        <v>3511</v>
      </c>
      <c r="F52" s="778"/>
      <c r="G52" s="777" t="s">
        <v>1781</v>
      </c>
      <c r="H52" s="779">
        <v>0</v>
      </c>
      <c r="I52" s="780" t="s">
        <v>291</v>
      </c>
      <c r="J52" s="1342">
        <f t="shared" ref="J52:J119" si="15">IF(I52="e",H52," ")</f>
        <v>0</v>
      </c>
      <c r="K52" s="1326" t="str">
        <f t="shared" si="10"/>
        <v xml:space="preserve"> </v>
      </c>
      <c r="L52" s="1326" t="str">
        <f t="shared" si="11"/>
        <v xml:space="preserve"> </v>
      </c>
      <c r="M52" s="1342" t="str">
        <f t="shared" si="12"/>
        <v xml:space="preserve"> </v>
      </c>
      <c r="N52" s="1342" t="str">
        <f t="shared" si="14"/>
        <v xml:space="preserve"> </v>
      </c>
      <c r="P52"/>
    </row>
    <row r="53" spans="3:16">
      <c r="C53" s="1806">
        <v>2831001</v>
      </c>
      <c r="D53" s="1349" t="s">
        <v>337</v>
      </c>
      <c r="E53" s="1806">
        <v>4004</v>
      </c>
      <c r="F53" s="778"/>
      <c r="G53" s="777" t="s">
        <v>1782</v>
      </c>
      <c r="H53" s="779">
        <v>-2216977.71</v>
      </c>
      <c r="I53" s="780" t="s">
        <v>291</v>
      </c>
      <c r="J53" s="1342">
        <f t="shared" si="15"/>
        <v>-2216977.71</v>
      </c>
      <c r="K53" s="1326" t="str">
        <f t="shared" si="10"/>
        <v xml:space="preserve"> </v>
      </c>
      <c r="L53" s="1326" t="str">
        <f t="shared" si="11"/>
        <v xml:space="preserve"> </v>
      </c>
      <c r="M53" s="1342" t="str">
        <f t="shared" si="12"/>
        <v xml:space="preserve"> </v>
      </c>
      <c r="N53" s="1342" t="str">
        <f t="shared" si="14"/>
        <v xml:space="preserve"> </v>
      </c>
      <c r="P53"/>
    </row>
    <row r="54" spans="3:16">
      <c r="C54" s="1806">
        <v>2831001</v>
      </c>
      <c r="D54" s="1349" t="s">
        <v>337</v>
      </c>
      <c r="E54" s="1806">
        <v>4018</v>
      </c>
      <c r="F54" s="778"/>
      <c r="G54" s="777" t="s">
        <v>1783</v>
      </c>
      <c r="H54" s="779">
        <v>-7379516.75</v>
      </c>
      <c r="I54" s="780" t="s">
        <v>291</v>
      </c>
      <c r="J54" s="1342">
        <f t="shared" si="15"/>
        <v>-7379516.75</v>
      </c>
      <c r="K54" s="1326" t="str">
        <f t="shared" si="10"/>
        <v xml:space="preserve"> </v>
      </c>
      <c r="L54" s="1326" t="str">
        <f t="shared" si="11"/>
        <v xml:space="preserve"> </v>
      </c>
      <c r="M54" s="1342" t="str">
        <f t="shared" si="12"/>
        <v xml:space="preserve"> </v>
      </c>
      <c r="N54" s="1342" t="str">
        <f t="shared" si="14"/>
        <v xml:space="preserve"> </v>
      </c>
      <c r="P54"/>
    </row>
    <row r="55" spans="3:16">
      <c r="C55" s="1806">
        <v>2831001</v>
      </c>
      <c r="D55" s="1349"/>
      <c r="E55" s="1806">
        <v>4031</v>
      </c>
      <c r="F55" s="778"/>
      <c r="G55" s="777" t="s">
        <v>1698</v>
      </c>
      <c r="H55" s="779">
        <v>-98328.1</v>
      </c>
      <c r="I55" s="780" t="s">
        <v>291</v>
      </c>
      <c r="J55" s="1342">
        <f t="shared" si="15"/>
        <v>-98328.1</v>
      </c>
      <c r="K55" s="1326" t="str">
        <f t="shared" si="10"/>
        <v xml:space="preserve"> </v>
      </c>
      <c r="L55" s="1326" t="str">
        <f t="shared" si="11"/>
        <v xml:space="preserve"> </v>
      </c>
      <c r="M55" s="1342" t="str">
        <f t="shared" si="12"/>
        <v xml:space="preserve"> </v>
      </c>
      <c r="N55" s="1342" t="str">
        <f t="shared" si="14"/>
        <v xml:space="preserve"> </v>
      </c>
      <c r="P55"/>
    </row>
    <row r="56" spans="3:16">
      <c r="C56" s="1806">
        <v>2831001</v>
      </c>
      <c r="D56" s="1349"/>
      <c r="E56" s="1806">
        <v>7026</v>
      </c>
      <c r="F56" s="778"/>
      <c r="G56" s="777" t="s">
        <v>1699</v>
      </c>
      <c r="H56" s="779">
        <v>221092.6</v>
      </c>
      <c r="I56" s="780" t="s">
        <v>291</v>
      </c>
      <c r="J56" s="1342">
        <f t="shared" si="15"/>
        <v>221092.6</v>
      </c>
      <c r="K56" s="1326" t="str">
        <f t="shared" si="10"/>
        <v xml:space="preserve"> </v>
      </c>
      <c r="L56" s="1326" t="str">
        <f t="shared" si="11"/>
        <v xml:space="preserve"> </v>
      </c>
      <c r="M56" s="1342" t="str">
        <f t="shared" si="12"/>
        <v xml:space="preserve"> </v>
      </c>
      <c r="N56" s="1342" t="str">
        <f t="shared" si="14"/>
        <v xml:space="preserve"> </v>
      </c>
      <c r="P56"/>
    </row>
    <row r="57" spans="3:16">
      <c r="C57" s="1806">
        <v>2831001</v>
      </c>
      <c r="D57" s="1349" t="s">
        <v>337</v>
      </c>
      <c r="E57" s="1806">
        <v>7028</v>
      </c>
      <c r="F57" s="778"/>
      <c r="G57" s="777" t="s">
        <v>1784</v>
      </c>
      <c r="H57" s="779">
        <v>11929786.869999999</v>
      </c>
      <c r="I57" s="780" t="s">
        <v>158</v>
      </c>
      <c r="J57" s="1342" t="str">
        <f t="shared" si="15"/>
        <v xml:space="preserve"> </v>
      </c>
      <c r="K57" s="1326" t="str">
        <f t="shared" si="10"/>
        <v xml:space="preserve"> </v>
      </c>
      <c r="L57" s="1326">
        <f t="shared" si="11"/>
        <v>11929786.869999999</v>
      </c>
      <c r="M57" s="1342" t="str">
        <f t="shared" si="12"/>
        <v xml:space="preserve"> </v>
      </c>
      <c r="N57" s="1342" t="str">
        <f t="shared" si="14"/>
        <v xml:space="preserve"> </v>
      </c>
      <c r="P57"/>
    </row>
    <row r="58" spans="3:16">
      <c r="C58" s="1806">
        <v>2831001</v>
      </c>
      <c r="D58" s="1349" t="s">
        <v>337</v>
      </c>
      <c r="E58" s="1806">
        <v>7032</v>
      </c>
      <c r="F58" s="778"/>
      <c r="G58" s="777" t="s">
        <v>1700</v>
      </c>
      <c r="H58" s="779">
        <v>-9478249.4499999993</v>
      </c>
      <c r="I58" s="780" t="s">
        <v>300</v>
      </c>
      <c r="J58" s="1342" t="str">
        <f t="shared" si="15"/>
        <v xml:space="preserve"> </v>
      </c>
      <c r="K58" s="1326" t="str">
        <f t="shared" si="10"/>
        <v xml:space="preserve"> </v>
      </c>
      <c r="L58" s="1326" t="str">
        <f t="shared" si="11"/>
        <v xml:space="preserve"> </v>
      </c>
      <c r="M58" s="1342" t="str">
        <f t="shared" si="12"/>
        <v xml:space="preserve"> </v>
      </c>
      <c r="N58" s="1342">
        <f t="shared" si="14"/>
        <v>-9478249.4499999993</v>
      </c>
      <c r="P58"/>
    </row>
    <row r="59" spans="3:16">
      <c r="C59" s="1806">
        <v>2831001</v>
      </c>
      <c r="D59" s="1349" t="s">
        <v>337</v>
      </c>
      <c r="E59" s="1806">
        <v>7033</v>
      </c>
      <c r="F59" s="778"/>
      <c r="G59" s="777" t="s">
        <v>1701</v>
      </c>
      <c r="H59" s="779">
        <v>17266740.870000001</v>
      </c>
      <c r="I59" s="780" t="s">
        <v>291</v>
      </c>
      <c r="J59" s="1342">
        <f t="shared" si="15"/>
        <v>17266740.870000001</v>
      </c>
      <c r="K59" s="1326" t="str">
        <f t="shared" si="10"/>
        <v xml:space="preserve"> </v>
      </c>
      <c r="L59" s="1326" t="str">
        <f t="shared" si="11"/>
        <v xml:space="preserve"> </v>
      </c>
      <c r="M59" s="1342" t="str">
        <f t="shared" si="12"/>
        <v xml:space="preserve"> </v>
      </c>
      <c r="N59" s="1342" t="str">
        <f t="shared" si="14"/>
        <v xml:space="preserve"> </v>
      </c>
      <c r="P59"/>
    </row>
    <row r="60" spans="3:16">
      <c r="C60" s="1806">
        <v>2831001</v>
      </c>
      <c r="D60" s="1349"/>
      <c r="E60" s="1806">
        <v>7081</v>
      </c>
      <c r="F60" s="778"/>
      <c r="G60" s="777" t="s">
        <v>1785</v>
      </c>
      <c r="H60" s="779">
        <v>0.63</v>
      </c>
      <c r="I60" s="780" t="s">
        <v>291</v>
      </c>
      <c r="J60" s="1342">
        <f t="shared" si="15"/>
        <v>0.63</v>
      </c>
      <c r="K60" s="1326" t="str">
        <f t="shared" si="10"/>
        <v xml:space="preserve"> </v>
      </c>
      <c r="L60" s="1326" t="str">
        <f t="shared" si="11"/>
        <v xml:space="preserve"> </v>
      </c>
      <c r="M60" s="1342" t="str">
        <f t="shared" si="12"/>
        <v xml:space="preserve"> </v>
      </c>
      <c r="N60" s="1342" t="str">
        <f t="shared" si="14"/>
        <v xml:space="preserve"> </v>
      </c>
      <c r="P60"/>
    </row>
    <row r="61" spans="3:16">
      <c r="C61" s="1806">
        <v>2831001</v>
      </c>
      <c r="D61" s="1349" t="s">
        <v>337</v>
      </c>
      <c r="E61" s="1806">
        <v>7085</v>
      </c>
      <c r="F61" s="778"/>
      <c r="G61" s="777" t="s">
        <v>1702</v>
      </c>
      <c r="H61" s="779">
        <v>4.05</v>
      </c>
      <c r="I61" s="780" t="s">
        <v>158</v>
      </c>
      <c r="J61" s="1342" t="str">
        <f t="shared" si="15"/>
        <v xml:space="preserve"> </v>
      </c>
      <c r="K61" s="1326" t="str">
        <f t="shared" si="10"/>
        <v xml:space="preserve"> </v>
      </c>
      <c r="L61" s="1326">
        <f t="shared" si="11"/>
        <v>4.05</v>
      </c>
      <c r="M61" s="1342" t="str">
        <f t="shared" si="12"/>
        <v xml:space="preserve"> </v>
      </c>
      <c r="N61" s="1342" t="str">
        <f t="shared" si="14"/>
        <v xml:space="preserve"> </v>
      </c>
      <c r="P61"/>
    </row>
    <row r="62" spans="3:16">
      <c r="C62" s="1806">
        <v>2831001</v>
      </c>
      <c r="D62" s="1349" t="s">
        <v>337</v>
      </c>
      <c r="E62" s="1806">
        <v>7086</v>
      </c>
      <c r="F62" s="778"/>
      <c r="G62" s="777" t="s">
        <v>1703</v>
      </c>
      <c r="H62" s="779">
        <v>-1832052.12</v>
      </c>
      <c r="I62" s="780" t="s">
        <v>291</v>
      </c>
      <c r="J62" s="1342">
        <f t="shared" si="15"/>
        <v>-1832052.12</v>
      </c>
      <c r="K62" s="1326" t="str">
        <f t="shared" si="10"/>
        <v xml:space="preserve"> </v>
      </c>
      <c r="L62" s="1326" t="str">
        <f t="shared" si="11"/>
        <v xml:space="preserve"> </v>
      </c>
      <c r="M62" s="1342" t="str">
        <f t="shared" si="12"/>
        <v xml:space="preserve"> </v>
      </c>
      <c r="N62" s="1342" t="str">
        <f t="shared" si="14"/>
        <v xml:space="preserve"> </v>
      </c>
      <c r="P62"/>
    </row>
    <row r="63" spans="3:16">
      <c r="C63" s="1806">
        <v>2831001</v>
      </c>
      <c r="D63" s="1349"/>
      <c r="E63" s="1806">
        <v>7093</v>
      </c>
      <c r="F63" s="778"/>
      <c r="G63" s="777" t="s">
        <v>1786</v>
      </c>
      <c r="H63" s="779">
        <v>-185491.71</v>
      </c>
      <c r="I63" s="780" t="s">
        <v>291</v>
      </c>
      <c r="J63" s="1342">
        <f t="shared" si="15"/>
        <v>-185491.71</v>
      </c>
      <c r="K63" s="1326" t="str">
        <f t="shared" si="10"/>
        <v xml:space="preserve"> </v>
      </c>
      <c r="L63" s="1326" t="str">
        <f t="shared" si="11"/>
        <v xml:space="preserve"> </v>
      </c>
      <c r="M63" s="1342" t="str">
        <f t="shared" si="12"/>
        <v xml:space="preserve"> </v>
      </c>
      <c r="N63" s="1342" t="str">
        <f t="shared" si="14"/>
        <v xml:space="preserve"> </v>
      </c>
      <c r="P63"/>
    </row>
    <row r="64" spans="3:16">
      <c r="C64" s="1806">
        <v>2831001</v>
      </c>
      <c r="D64" s="1349"/>
      <c r="E64" s="1806">
        <v>7094</v>
      </c>
      <c r="F64" s="778"/>
      <c r="G64" s="777" t="s">
        <v>1787</v>
      </c>
      <c r="H64" s="779">
        <v>-623712.73</v>
      </c>
      <c r="I64" s="780" t="s">
        <v>291</v>
      </c>
      <c r="J64" s="1342">
        <f t="shared" si="15"/>
        <v>-623712.73</v>
      </c>
      <c r="K64" s="1326" t="str">
        <f t="shared" si="10"/>
        <v xml:space="preserve"> </v>
      </c>
      <c r="L64" s="1326" t="str">
        <f t="shared" si="11"/>
        <v xml:space="preserve"> </v>
      </c>
      <c r="M64" s="1342" t="str">
        <f t="shared" si="12"/>
        <v xml:space="preserve"> </v>
      </c>
      <c r="N64" s="1342" t="str">
        <f t="shared" si="14"/>
        <v xml:space="preserve"> </v>
      </c>
      <c r="P64"/>
    </row>
    <row r="65" spans="3:16">
      <c r="C65" s="1806">
        <v>2831001</v>
      </c>
      <c r="D65" s="1349"/>
      <c r="E65" s="1806">
        <v>7095</v>
      </c>
      <c r="F65" s="778"/>
      <c r="G65" s="777" t="s">
        <v>1788</v>
      </c>
      <c r="H65" s="779">
        <v>-142654.06</v>
      </c>
      <c r="I65" s="780" t="s">
        <v>291</v>
      </c>
      <c r="J65" s="1342">
        <f t="shared" si="15"/>
        <v>-142654.06</v>
      </c>
      <c r="K65" s="1326" t="str">
        <f t="shared" si="10"/>
        <v xml:space="preserve"> </v>
      </c>
      <c r="L65" s="1326" t="str">
        <f t="shared" si="11"/>
        <v xml:space="preserve"> </v>
      </c>
      <c r="M65" s="1342" t="str">
        <f t="shared" si="12"/>
        <v xml:space="preserve"> </v>
      </c>
      <c r="N65" s="1342" t="str">
        <f t="shared" si="14"/>
        <v xml:space="preserve"> </v>
      </c>
      <c r="P65"/>
    </row>
    <row r="66" spans="3:16">
      <c r="C66" s="1806">
        <v>2831001</v>
      </c>
      <c r="D66" s="1349"/>
      <c r="E66" s="1806">
        <v>7096</v>
      </c>
      <c r="F66" s="778"/>
      <c r="G66" s="777" t="s">
        <v>1789</v>
      </c>
      <c r="H66" s="779">
        <v>0.42</v>
      </c>
      <c r="I66" s="780" t="s">
        <v>291</v>
      </c>
      <c r="J66" s="1342">
        <f t="shared" si="15"/>
        <v>0.42</v>
      </c>
      <c r="K66" s="1326" t="str">
        <f t="shared" si="10"/>
        <v xml:space="preserve"> </v>
      </c>
      <c r="L66" s="1326" t="str">
        <f t="shared" si="11"/>
        <v xml:space="preserve"> </v>
      </c>
      <c r="M66" s="1342" t="str">
        <f t="shared" si="12"/>
        <v xml:space="preserve"> </v>
      </c>
      <c r="N66" s="1342" t="str">
        <f t="shared" si="14"/>
        <v xml:space="preserve"> </v>
      </c>
      <c r="P66"/>
    </row>
    <row r="67" spans="3:16">
      <c r="C67" s="1806">
        <v>2831001</v>
      </c>
      <c r="D67" s="1349"/>
      <c r="E67" s="1806">
        <v>7103</v>
      </c>
      <c r="F67" s="778"/>
      <c r="G67" s="777" t="s">
        <v>1704</v>
      </c>
      <c r="H67" s="779">
        <v>-49185.66</v>
      </c>
      <c r="I67" s="780" t="s">
        <v>291</v>
      </c>
      <c r="J67" s="1342">
        <f t="shared" si="15"/>
        <v>-49185.66</v>
      </c>
      <c r="K67" s="1326" t="str">
        <f t="shared" si="10"/>
        <v xml:space="preserve"> </v>
      </c>
      <c r="L67" s="1326" t="str">
        <f t="shared" si="11"/>
        <v xml:space="preserve"> </v>
      </c>
      <c r="M67" s="1342" t="str">
        <f t="shared" si="12"/>
        <v xml:space="preserve"> </v>
      </c>
      <c r="N67" s="1342" t="str">
        <f t="shared" si="14"/>
        <v xml:space="preserve"> </v>
      </c>
      <c r="P67"/>
    </row>
    <row r="68" spans="3:16">
      <c r="C68" s="1806">
        <v>2831001</v>
      </c>
      <c r="D68" s="1349" t="s">
        <v>337</v>
      </c>
      <c r="E68" s="1806">
        <v>7104</v>
      </c>
      <c r="F68" s="778"/>
      <c r="G68" s="777" t="s">
        <v>1744</v>
      </c>
      <c r="H68" s="779">
        <v>229.52</v>
      </c>
      <c r="I68" s="780" t="s">
        <v>291</v>
      </c>
      <c r="J68" s="1342">
        <f t="shared" si="15"/>
        <v>229.52</v>
      </c>
      <c r="K68" s="1326" t="str">
        <f t="shared" si="10"/>
        <v xml:space="preserve"> </v>
      </c>
      <c r="L68" s="1326" t="str">
        <f t="shared" si="11"/>
        <v xml:space="preserve"> </v>
      </c>
      <c r="M68" s="1342" t="str">
        <f t="shared" si="12"/>
        <v xml:space="preserve"> </v>
      </c>
      <c r="N68" s="1342" t="str">
        <f t="shared" si="14"/>
        <v xml:space="preserve"> </v>
      </c>
      <c r="P68"/>
    </row>
    <row r="69" spans="3:16">
      <c r="C69" s="1806">
        <v>2831001</v>
      </c>
      <c r="D69" s="1349" t="s">
        <v>337</v>
      </c>
      <c r="E69" s="1806">
        <v>7114</v>
      </c>
      <c r="F69" s="778"/>
      <c r="G69" s="777" t="s">
        <v>1790</v>
      </c>
      <c r="H69" s="779">
        <v>-79044.84</v>
      </c>
      <c r="I69" s="780" t="s">
        <v>291</v>
      </c>
      <c r="J69" s="1342">
        <f t="shared" si="15"/>
        <v>-79044.84</v>
      </c>
      <c r="K69" s="1326" t="str">
        <f t="shared" si="10"/>
        <v xml:space="preserve"> </v>
      </c>
      <c r="L69" s="1326" t="str">
        <f t="shared" si="11"/>
        <v xml:space="preserve"> </v>
      </c>
      <c r="M69" s="1342" t="str">
        <f t="shared" si="12"/>
        <v xml:space="preserve"> </v>
      </c>
      <c r="N69" s="1342" t="str">
        <f t="shared" si="14"/>
        <v xml:space="preserve"> </v>
      </c>
      <c r="P69"/>
    </row>
    <row r="70" spans="3:16">
      <c r="C70" s="1806">
        <v>2831001</v>
      </c>
      <c r="D70" s="1349" t="s">
        <v>337</v>
      </c>
      <c r="E70" s="1806">
        <v>7117</v>
      </c>
      <c r="F70" s="778"/>
      <c r="G70" s="777" t="s">
        <v>1791</v>
      </c>
      <c r="H70" s="779">
        <v>0.01</v>
      </c>
      <c r="I70" s="780" t="s">
        <v>291</v>
      </c>
      <c r="J70" s="1342">
        <f t="shared" si="15"/>
        <v>0.01</v>
      </c>
      <c r="K70" s="1326" t="str">
        <f t="shared" si="10"/>
        <v xml:space="preserve"> </v>
      </c>
      <c r="L70" s="1326" t="str">
        <f t="shared" si="11"/>
        <v xml:space="preserve"> </v>
      </c>
      <c r="M70" s="1342" t="str">
        <f t="shared" si="12"/>
        <v xml:space="preserve"> </v>
      </c>
      <c r="N70" s="1342" t="str">
        <f t="shared" si="14"/>
        <v xml:space="preserve"> </v>
      </c>
      <c r="P70"/>
    </row>
    <row r="71" spans="3:16">
      <c r="C71" s="1806">
        <v>2831001</v>
      </c>
      <c r="D71" s="1349" t="s">
        <v>337</v>
      </c>
      <c r="E71" s="1806">
        <v>7129</v>
      </c>
      <c r="F71" s="778"/>
      <c r="G71" s="777" t="s">
        <v>1792</v>
      </c>
      <c r="H71" s="779">
        <v>0</v>
      </c>
      <c r="I71" s="780" t="s">
        <v>291</v>
      </c>
      <c r="J71" s="1342">
        <f t="shared" si="15"/>
        <v>0</v>
      </c>
      <c r="K71" s="1326" t="str">
        <f t="shared" si="10"/>
        <v xml:space="preserve"> </v>
      </c>
      <c r="L71" s="1326" t="str">
        <f t="shared" si="11"/>
        <v xml:space="preserve"> </v>
      </c>
      <c r="M71" s="1342" t="str">
        <f t="shared" si="12"/>
        <v xml:space="preserve"> </v>
      </c>
      <c r="N71" s="1342" t="str">
        <f t="shared" si="14"/>
        <v xml:space="preserve"> </v>
      </c>
      <c r="P71"/>
    </row>
    <row r="72" spans="3:16">
      <c r="C72" s="1806">
        <v>2831001</v>
      </c>
      <c r="D72" s="1349" t="s">
        <v>337</v>
      </c>
      <c r="E72" s="1806">
        <v>7137</v>
      </c>
      <c r="F72" s="778"/>
      <c r="G72" s="777" t="s">
        <v>1705</v>
      </c>
      <c r="H72" s="779">
        <v>-17266740.75</v>
      </c>
      <c r="I72" s="780" t="s">
        <v>291</v>
      </c>
      <c r="J72" s="1342">
        <f t="shared" si="15"/>
        <v>-17266740.75</v>
      </c>
      <c r="K72" s="1326" t="str">
        <f t="shared" si="10"/>
        <v xml:space="preserve"> </v>
      </c>
      <c r="L72" s="1326" t="str">
        <f t="shared" si="11"/>
        <v xml:space="preserve"> </v>
      </c>
      <c r="M72" s="1342" t="str">
        <f t="shared" si="12"/>
        <v xml:space="preserve"> </v>
      </c>
      <c r="N72" s="1342" t="str">
        <f t="shared" si="14"/>
        <v xml:space="preserve"> </v>
      </c>
      <c r="P72"/>
    </row>
    <row r="73" spans="3:16">
      <c r="C73" s="1806">
        <v>2831001</v>
      </c>
      <c r="D73" s="1349" t="s">
        <v>337</v>
      </c>
      <c r="E73" s="1806">
        <v>7138</v>
      </c>
      <c r="F73" s="778"/>
      <c r="G73" s="777" t="s">
        <v>1706</v>
      </c>
      <c r="H73" s="779">
        <v>-158883.9</v>
      </c>
      <c r="I73" s="780" t="s">
        <v>291</v>
      </c>
      <c r="J73" s="1342">
        <f t="shared" si="15"/>
        <v>-158883.9</v>
      </c>
      <c r="K73" s="1326" t="str">
        <f t="shared" si="10"/>
        <v xml:space="preserve"> </v>
      </c>
      <c r="L73" s="1326" t="str">
        <f t="shared" si="11"/>
        <v xml:space="preserve"> </v>
      </c>
      <c r="M73" s="1342" t="str">
        <f t="shared" si="12"/>
        <v xml:space="preserve"> </v>
      </c>
      <c r="N73" s="1342" t="str">
        <f t="shared" si="14"/>
        <v xml:space="preserve"> </v>
      </c>
      <c r="P73"/>
    </row>
    <row r="74" spans="3:16">
      <c r="C74" s="1806">
        <v>2831001</v>
      </c>
      <c r="D74" s="1349" t="s">
        <v>337</v>
      </c>
      <c r="E74" s="1806">
        <v>7139</v>
      </c>
      <c r="F74" s="778"/>
      <c r="G74" s="777" t="s">
        <v>1707</v>
      </c>
      <c r="H74" s="779">
        <v>-97732.95</v>
      </c>
      <c r="I74" s="780" t="s">
        <v>291</v>
      </c>
      <c r="J74" s="1342">
        <f t="shared" si="15"/>
        <v>-97732.95</v>
      </c>
      <c r="K74" s="1326" t="str">
        <f t="shared" si="10"/>
        <v xml:space="preserve"> </v>
      </c>
      <c r="L74" s="1326" t="str">
        <f t="shared" si="11"/>
        <v xml:space="preserve"> </v>
      </c>
      <c r="M74" s="1342" t="str">
        <f t="shared" si="12"/>
        <v xml:space="preserve"> </v>
      </c>
      <c r="N74" s="1342" t="str">
        <f t="shared" si="14"/>
        <v xml:space="preserve"> </v>
      </c>
      <c r="P74"/>
    </row>
    <row r="75" spans="3:16">
      <c r="C75" s="1806">
        <v>2831001</v>
      </c>
      <c r="D75" s="1349"/>
      <c r="E75" s="1806">
        <v>7172</v>
      </c>
      <c r="F75" s="778"/>
      <c r="G75" s="777" t="s">
        <v>1793</v>
      </c>
      <c r="H75" s="779">
        <v>-15144.81</v>
      </c>
      <c r="I75" s="780" t="s">
        <v>291</v>
      </c>
      <c r="J75" s="1342">
        <f>H75</f>
        <v>-15144.81</v>
      </c>
      <c r="K75" s="1326"/>
      <c r="L75" s="1326"/>
      <c r="M75" s="1342"/>
      <c r="N75" s="1342"/>
      <c r="P75"/>
    </row>
    <row r="76" spans="3:16">
      <c r="C76" s="1806">
        <v>2831001</v>
      </c>
      <c r="D76" s="1349" t="s">
        <v>337</v>
      </c>
      <c r="E76" s="1806">
        <v>7189</v>
      </c>
      <c r="F76" s="778"/>
      <c r="G76" s="777" t="s">
        <v>1794</v>
      </c>
      <c r="H76" s="779">
        <v>0.04</v>
      </c>
      <c r="I76" s="780" t="s">
        <v>291</v>
      </c>
      <c r="J76" s="1342">
        <f t="shared" si="15"/>
        <v>0.04</v>
      </c>
      <c r="K76" s="1326" t="str">
        <f t="shared" si="10"/>
        <v xml:space="preserve"> </v>
      </c>
      <c r="L76" s="1326" t="str">
        <f t="shared" si="11"/>
        <v xml:space="preserve"> </v>
      </c>
      <c r="M76" s="1342" t="str">
        <f t="shared" si="12"/>
        <v xml:space="preserve"> </v>
      </c>
      <c r="N76" s="1342" t="str">
        <f t="shared" si="14"/>
        <v xml:space="preserve"> </v>
      </c>
      <c r="P76"/>
    </row>
    <row r="77" spans="3:16">
      <c r="C77" s="1806">
        <v>2831001</v>
      </c>
      <c r="D77" s="1349"/>
      <c r="E77" s="1806">
        <v>7191</v>
      </c>
      <c r="F77" s="778"/>
      <c r="G77" s="777" t="s">
        <v>1795</v>
      </c>
      <c r="H77" s="779">
        <v>-0.06</v>
      </c>
      <c r="I77" s="780" t="s">
        <v>291</v>
      </c>
      <c r="J77" s="1342">
        <f t="shared" si="15"/>
        <v>-0.06</v>
      </c>
      <c r="K77" s="1326" t="str">
        <f t="shared" si="10"/>
        <v xml:space="preserve"> </v>
      </c>
      <c r="L77" s="1326" t="str">
        <f t="shared" si="11"/>
        <v xml:space="preserve"> </v>
      </c>
      <c r="M77" s="1342" t="str">
        <f t="shared" si="12"/>
        <v xml:space="preserve"> </v>
      </c>
      <c r="N77" s="1342" t="str">
        <f t="shared" si="14"/>
        <v xml:space="preserve"> </v>
      </c>
      <c r="P77"/>
    </row>
    <row r="78" spans="3:16">
      <c r="C78" s="1806">
        <v>2831001</v>
      </c>
      <c r="D78" s="1349" t="s">
        <v>337</v>
      </c>
      <c r="E78" s="1806">
        <v>7193</v>
      </c>
      <c r="F78" s="778"/>
      <c r="G78" s="777" t="s">
        <v>1796</v>
      </c>
      <c r="H78" s="779">
        <v>-0.06</v>
      </c>
      <c r="I78" s="780" t="s">
        <v>291</v>
      </c>
      <c r="J78" s="1342">
        <f>IF(I78="e",H78," ")</f>
        <v>-0.06</v>
      </c>
      <c r="K78" s="1326" t="str">
        <f>IF($I78="T",$H78," ")</f>
        <v xml:space="preserve"> </v>
      </c>
      <c r="L78" s="1326" t="str">
        <f>IF($I78="PTD",$H78," ")</f>
        <v xml:space="preserve"> </v>
      </c>
      <c r="M78" s="1342" t="str">
        <f>IF($I78="T&amp;D",$H78," ")</f>
        <v xml:space="preserve"> </v>
      </c>
      <c r="N78" s="1342" t="str">
        <f>IF(I78="Labor",H78," ")</f>
        <v xml:space="preserve"> </v>
      </c>
      <c r="P78"/>
    </row>
    <row r="79" spans="3:16">
      <c r="C79" s="1806">
        <v>2831001</v>
      </c>
      <c r="D79" s="1349"/>
      <c r="E79" s="1806">
        <v>7202</v>
      </c>
      <c r="F79" s="778"/>
      <c r="G79" s="777" t="s">
        <v>1758</v>
      </c>
      <c r="H79" s="779">
        <v>-419202.17</v>
      </c>
      <c r="I79" s="780" t="s">
        <v>291</v>
      </c>
      <c r="J79" s="1342">
        <f>IF(I79="e",H79," ")</f>
        <v>-419202.17</v>
      </c>
      <c r="K79" s="1326" t="str">
        <f>IF($I79="T",$H79," ")</f>
        <v xml:space="preserve"> </v>
      </c>
      <c r="L79" s="1326" t="str">
        <f>IF($I79="PTD",$H79," ")</f>
        <v xml:space="preserve"> </v>
      </c>
      <c r="M79" s="1342" t="str">
        <f>IF($I79="T&amp;D",$H79," ")</f>
        <v xml:space="preserve"> </v>
      </c>
      <c r="N79" s="1342" t="str">
        <f>IF(I79="Labor",H79," ")</f>
        <v xml:space="preserve"> </v>
      </c>
      <c r="P79"/>
    </row>
    <row r="80" spans="3:16">
      <c r="C80" s="1806">
        <v>2831001</v>
      </c>
      <c r="D80" s="1349" t="s">
        <v>337</v>
      </c>
      <c r="E80" s="1806">
        <v>7258</v>
      </c>
      <c r="F80" s="778"/>
      <c r="G80" s="777" t="s">
        <v>1797</v>
      </c>
      <c r="H80" s="779">
        <v>-196666.41</v>
      </c>
      <c r="I80" s="780" t="s">
        <v>291</v>
      </c>
      <c r="J80" s="1342">
        <f t="shared" si="15"/>
        <v>-196666.41</v>
      </c>
      <c r="K80" s="1326" t="str">
        <f t="shared" si="10"/>
        <v xml:space="preserve"> </v>
      </c>
      <c r="L80" s="1326" t="str">
        <f t="shared" si="11"/>
        <v xml:space="preserve"> </v>
      </c>
      <c r="M80" s="1342" t="str">
        <f t="shared" si="12"/>
        <v xml:space="preserve"> </v>
      </c>
      <c r="N80" s="1342" t="str">
        <f t="shared" si="14"/>
        <v xml:space="preserve"> </v>
      </c>
      <c r="P80"/>
    </row>
    <row r="81" spans="3:16">
      <c r="C81" s="1806">
        <v>2831001</v>
      </c>
      <c r="D81" s="1349" t="s">
        <v>337</v>
      </c>
      <c r="E81" s="1806">
        <v>7278</v>
      </c>
      <c r="F81" s="778"/>
      <c r="G81" s="777" t="s">
        <v>1798</v>
      </c>
      <c r="H81" s="779">
        <v>-422062.24</v>
      </c>
      <c r="I81" s="780" t="s">
        <v>291</v>
      </c>
      <c r="J81" s="1342">
        <f t="shared" ref="J81" si="16">IF(I81="e",H81," ")</f>
        <v>-422062.24</v>
      </c>
      <c r="K81" s="1326" t="str">
        <f t="shared" si="10"/>
        <v xml:space="preserve"> </v>
      </c>
      <c r="L81" s="1326" t="str">
        <f t="shared" si="11"/>
        <v xml:space="preserve"> </v>
      </c>
      <c r="M81" s="1342" t="str">
        <f t="shared" si="12"/>
        <v xml:space="preserve"> </v>
      </c>
      <c r="N81" s="1342" t="str">
        <f t="shared" ref="N81" si="17">IF(I81="Labor",H81," ")</f>
        <v xml:space="preserve"> </v>
      </c>
      <c r="P81"/>
    </row>
    <row r="82" spans="3:16">
      <c r="C82" s="1806">
        <v>2831001</v>
      </c>
      <c r="D82" s="1349" t="s">
        <v>337</v>
      </c>
      <c r="E82" s="1806">
        <v>7308</v>
      </c>
      <c r="F82" s="778"/>
      <c r="G82" s="777" t="s">
        <v>1799</v>
      </c>
      <c r="H82" s="779">
        <v>-0.03</v>
      </c>
      <c r="I82" s="780" t="s">
        <v>291</v>
      </c>
      <c r="J82" s="1342">
        <f t="shared" si="15"/>
        <v>-0.03</v>
      </c>
      <c r="K82" s="1326" t="str">
        <f t="shared" si="10"/>
        <v xml:space="preserve"> </v>
      </c>
      <c r="L82" s="1326" t="str">
        <f t="shared" si="11"/>
        <v xml:space="preserve"> </v>
      </c>
      <c r="M82" s="1342" t="str">
        <f t="shared" si="12"/>
        <v xml:space="preserve"> </v>
      </c>
      <c r="N82" s="1342" t="str">
        <f t="shared" si="14"/>
        <v xml:space="preserve"> </v>
      </c>
      <c r="P82"/>
    </row>
    <row r="83" spans="3:16">
      <c r="C83" s="1806">
        <v>2831001</v>
      </c>
      <c r="D83" s="1349" t="s">
        <v>337</v>
      </c>
      <c r="E83" s="1806">
        <v>7360</v>
      </c>
      <c r="F83" s="778"/>
      <c r="G83" s="777" t="s">
        <v>1800</v>
      </c>
      <c r="H83" s="779">
        <v>-137437.07999999999</v>
      </c>
      <c r="I83" s="780" t="s">
        <v>291</v>
      </c>
      <c r="J83" s="1342">
        <f t="shared" si="15"/>
        <v>-137437.07999999999</v>
      </c>
      <c r="K83" s="1326" t="str">
        <f t="shared" si="10"/>
        <v xml:space="preserve"> </v>
      </c>
      <c r="L83" s="1326" t="str">
        <f t="shared" si="11"/>
        <v xml:space="preserve"> </v>
      </c>
      <c r="M83" s="1342" t="str">
        <f t="shared" si="12"/>
        <v xml:space="preserve"> </v>
      </c>
      <c r="N83" s="1342" t="str">
        <f t="shared" si="14"/>
        <v xml:space="preserve"> </v>
      </c>
      <c r="P83"/>
    </row>
    <row r="84" spans="3:16">
      <c r="C84" s="1806">
        <v>2831001</v>
      </c>
      <c r="D84" s="1349" t="s">
        <v>337</v>
      </c>
      <c r="E84" s="1806">
        <v>7380</v>
      </c>
      <c r="F84" s="778"/>
      <c r="G84" s="777" t="s">
        <v>1801</v>
      </c>
      <c r="H84" s="779">
        <v>-2530851.36</v>
      </c>
      <c r="I84" s="780" t="s">
        <v>291</v>
      </c>
      <c r="J84" s="1342">
        <f t="shared" si="15"/>
        <v>-2530851.36</v>
      </c>
      <c r="K84" s="1326" t="str">
        <f t="shared" si="10"/>
        <v xml:space="preserve"> </v>
      </c>
      <c r="L84" s="1326" t="str">
        <f t="shared" si="11"/>
        <v xml:space="preserve"> </v>
      </c>
      <c r="M84" s="1342" t="str">
        <f t="shared" si="12"/>
        <v xml:space="preserve"> </v>
      </c>
      <c r="N84" s="1342" t="str">
        <f t="shared" si="14"/>
        <v xml:space="preserve"> </v>
      </c>
      <c r="P84"/>
    </row>
    <row r="85" spans="3:16">
      <c r="C85" s="1806">
        <v>2831001</v>
      </c>
      <c r="D85" s="1349" t="s">
        <v>337</v>
      </c>
      <c r="E85" s="1806">
        <v>7381</v>
      </c>
      <c r="F85" s="778"/>
      <c r="G85" s="777" t="s">
        <v>1802</v>
      </c>
      <c r="H85" s="779">
        <v>885219.97</v>
      </c>
      <c r="I85" s="780" t="s">
        <v>291</v>
      </c>
      <c r="J85" s="1342">
        <f t="shared" si="15"/>
        <v>885219.97</v>
      </c>
      <c r="K85" s="1326" t="str">
        <f t="shared" si="10"/>
        <v xml:space="preserve"> </v>
      </c>
      <c r="L85" s="1326" t="str">
        <f t="shared" si="11"/>
        <v xml:space="preserve"> </v>
      </c>
      <c r="M85" s="1342" t="str">
        <f t="shared" si="12"/>
        <v xml:space="preserve"> </v>
      </c>
      <c r="N85" s="1342" t="str">
        <f t="shared" si="14"/>
        <v xml:space="preserve"> </v>
      </c>
      <c r="P85"/>
    </row>
    <row r="86" spans="3:16">
      <c r="C86" s="1806">
        <v>2831001</v>
      </c>
      <c r="D86" s="1349" t="s">
        <v>337</v>
      </c>
      <c r="E86" s="1806">
        <v>7392</v>
      </c>
      <c r="F86" s="778"/>
      <c r="G86" s="777" t="s">
        <v>1803</v>
      </c>
      <c r="H86" s="779">
        <v>0.21</v>
      </c>
      <c r="I86" s="780" t="s">
        <v>291</v>
      </c>
      <c r="J86" s="1342">
        <f t="shared" si="15"/>
        <v>0.21</v>
      </c>
      <c r="K86" s="1326" t="str">
        <f t="shared" si="10"/>
        <v xml:space="preserve"> </v>
      </c>
      <c r="L86" s="1326" t="str">
        <f t="shared" si="11"/>
        <v xml:space="preserve"> </v>
      </c>
      <c r="M86" s="1342" t="str">
        <f t="shared" si="12"/>
        <v xml:space="preserve"> </v>
      </c>
      <c r="N86" s="1342" t="str">
        <f t="shared" si="14"/>
        <v xml:space="preserve"> </v>
      </c>
      <c r="P86"/>
    </row>
    <row r="87" spans="3:16">
      <c r="C87" s="1806">
        <v>2831001</v>
      </c>
      <c r="D87" s="1349" t="s">
        <v>337</v>
      </c>
      <c r="E87" s="1806">
        <v>7396</v>
      </c>
      <c r="F87" s="778"/>
      <c r="G87" s="777" t="s">
        <v>1804</v>
      </c>
      <c r="H87" s="779">
        <v>-2905711.75</v>
      </c>
      <c r="I87" s="780" t="s">
        <v>291</v>
      </c>
      <c r="J87" s="1342">
        <f t="shared" si="15"/>
        <v>-2905711.75</v>
      </c>
      <c r="K87" s="1326" t="str">
        <f t="shared" si="10"/>
        <v xml:space="preserve"> </v>
      </c>
      <c r="L87" s="1326" t="str">
        <f t="shared" si="11"/>
        <v xml:space="preserve"> </v>
      </c>
      <c r="M87" s="1342" t="str">
        <f t="shared" si="12"/>
        <v xml:space="preserve"> </v>
      </c>
      <c r="N87" s="1342" t="str">
        <f t="shared" si="14"/>
        <v xml:space="preserve"> </v>
      </c>
      <c r="P87"/>
    </row>
    <row r="88" spans="3:16">
      <c r="C88" s="1806">
        <v>2831001</v>
      </c>
      <c r="D88" s="1349" t="s">
        <v>337</v>
      </c>
      <c r="E88" s="1806">
        <v>7414</v>
      </c>
      <c r="F88" s="778"/>
      <c r="G88" s="777" t="s">
        <v>1716</v>
      </c>
      <c r="H88" s="779">
        <v>0</v>
      </c>
      <c r="I88" s="780" t="s">
        <v>291</v>
      </c>
      <c r="J88" s="1342">
        <f t="shared" si="15"/>
        <v>0</v>
      </c>
      <c r="K88" s="1326" t="str">
        <f t="shared" si="10"/>
        <v xml:space="preserve"> </v>
      </c>
      <c r="L88" s="1326" t="str">
        <f t="shared" si="11"/>
        <v xml:space="preserve"> </v>
      </c>
      <c r="M88" s="1342" t="str">
        <f t="shared" si="12"/>
        <v xml:space="preserve"> </v>
      </c>
      <c r="N88" s="1342" t="str">
        <f t="shared" si="14"/>
        <v xml:space="preserve"> </v>
      </c>
      <c r="P88"/>
    </row>
    <row r="89" spans="3:16">
      <c r="C89" s="1806">
        <v>2831001</v>
      </c>
      <c r="D89" s="1349" t="s">
        <v>337</v>
      </c>
      <c r="E89" s="1806">
        <v>7423</v>
      </c>
      <c r="F89" s="778"/>
      <c r="G89" s="777" t="s">
        <v>1805</v>
      </c>
      <c r="H89" s="779">
        <v>0</v>
      </c>
      <c r="I89" s="780" t="s">
        <v>291</v>
      </c>
      <c r="J89" s="1342">
        <f t="shared" si="15"/>
        <v>0</v>
      </c>
      <c r="K89" s="1326" t="str">
        <f t="shared" si="10"/>
        <v xml:space="preserve"> </v>
      </c>
      <c r="L89" s="1326" t="str">
        <f t="shared" si="11"/>
        <v xml:space="preserve"> </v>
      </c>
      <c r="M89" s="1342" t="str">
        <f t="shared" si="12"/>
        <v xml:space="preserve"> </v>
      </c>
      <c r="N89" s="1342" t="str">
        <f t="shared" si="14"/>
        <v xml:space="preserve"> </v>
      </c>
      <c r="P89"/>
    </row>
    <row r="90" spans="3:16">
      <c r="C90" s="1806">
        <v>2831001</v>
      </c>
      <c r="D90" s="1349" t="s">
        <v>337</v>
      </c>
      <c r="E90" s="1806">
        <v>7432</v>
      </c>
      <c r="F90" s="778"/>
      <c r="G90" s="777" t="s">
        <v>1806</v>
      </c>
      <c r="H90" s="779">
        <v>17496.259999999998</v>
      </c>
      <c r="I90" s="780" t="s">
        <v>291</v>
      </c>
      <c r="J90" s="1342">
        <f t="shared" si="15"/>
        <v>17496.259999999998</v>
      </c>
      <c r="K90" s="1326" t="str">
        <f t="shared" si="10"/>
        <v xml:space="preserve"> </v>
      </c>
      <c r="L90" s="1326" t="str">
        <f t="shared" si="11"/>
        <v xml:space="preserve"> </v>
      </c>
      <c r="M90" s="1342" t="str">
        <f t="shared" si="12"/>
        <v xml:space="preserve"> </v>
      </c>
      <c r="N90" s="1342" t="str">
        <f t="shared" si="14"/>
        <v xml:space="preserve"> </v>
      </c>
      <c r="P90"/>
    </row>
    <row r="91" spans="3:16">
      <c r="C91" s="1806">
        <v>2831001</v>
      </c>
      <c r="D91" s="1349" t="s">
        <v>337</v>
      </c>
      <c r="E91" s="1806">
        <v>7438</v>
      </c>
      <c r="F91" s="778"/>
      <c r="G91" s="777" t="s">
        <v>1807</v>
      </c>
      <c r="H91" s="779">
        <v>-582687.82999999996</v>
      </c>
      <c r="I91" s="780" t="s">
        <v>291</v>
      </c>
      <c r="J91" s="1342">
        <f t="shared" si="15"/>
        <v>-582687.82999999996</v>
      </c>
      <c r="K91" s="1326" t="str">
        <f t="shared" si="10"/>
        <v xml:space="preserve"> </v>
      </c>
      <c r="L91" s="1326" t="str">
        <f t="shared" si="11"/>
        <v xml:space="preserve"> </v>
      </c>
      <c r="M91" s="1342" t="str">
        <f t="shared" si="12"/>
        <v xml:space="preserve"> </v>
      </c>
      <c r="N91" s="1342" t="str">
        <f t="shared" si="14"/>
        <v xml:space="preserve"> </v>
      </c>
      <c r="P91"/>
    </row>
    <row r="92" spans="3:16">
      <c r="C92" s="1806">
        <v>2831001</v>
      </c>
      <c r="D92" s="1349" t="s">
        <v>337</v>
      </c>
      <c r="E92" s="1806">
        <v>7440</v>
      </c>
      <c r="F92" s="778"/>
      <c r="G92" s="777" t="s">
        <v>1808</v>
      </c>
      <c r="H92" s="779">
        <v>1212667.3500000001</v>
      </c>
      <c r="I92" s="780" t="s">
        <v>291</v>
      </c>
      <c r="J92" s="1342">
        <f t="shared" si="15"/>
        <v>1212667.3500000001</v>
      </c>
      <c r="K92" s="1326" t="str">
        <f t="shared" si="10"/>
        <v xml:space="preserve"> </v>
      </c>
      <c r="L92" s="1326" t="str">
        <f t="shared" si="11"/>
        <v xml:space="preserve"> </v>
      </c>
      <c r="M92" s="1342" t="str">
        <f t="shared" si="12"/>
        <v xml:space="preserve"> </v>
      </c>
      <c r="N92" s="1342" t="str">
        <f t="shared" si="14"/>
        <v xml:space="preserve"> </v>
      </c>
      <c r="P92"/>
    </row>
    <row r="93" spans="3:16">
      <c r="C93" s="1806">
        <v>2831001</v>
      </c>
      <c r="D93" s="1349" t="s">
        <v>337</v>
      </c>
      <c r="E93" s="1806">
        <v>7455</v>
      </c>
      <c r="F93" s="778"/>
      <c r="G93" s="777" t="s">
        <v>1809</v>
      </c>
      <c r="H93" s="779">
        <v>-509379.52</v>
      </c>
      <c r="I93" s="780" t="s">
        <v>291</v>
      </c>
      <c r="J93" s="1342">
        <f t="shared" si="15"/>
        <v>-509379.52</v>
      </c>
      <c r="K93" s="1326" t="str">
        <f t="shared" si="10"/>
        <v xml:space="preserve"> </v>
      </c>
      <c r="L93" s="1326" t="str">
        <f t="shared" si="11"/>
        <v xml:space="preserve"> </v>
      </c>
      <c r="M93" s="1342" t="str">
        <f t="shared" si="12"/>
        <v xml:space="preserve"> </v>
      </c>
      <c r="N93" s="1342" t="str">
        <f t="shared" si="14"/>
        <v xml:space="preserve"> </v>
      </c>
      <c r="P93"/>
    </row>
    <row r="94" spans="3:16">
      <c r="C94" s="1806">
        <v>2831001</v>
      </c>
      <c r="D94" s="1349" t="s">
        <v>337</v>
      </c>
      <c r="E94" s="1806">
        <v>7456</v>
      </c>
      <c r="F94" s="778"/>
      <c r="G94" s="777" t="s">
        <v>1810</v>
      </c>
      <c r="H94" s="779">
        <v>-834194.31</v>
      </c>
      <c r="I94" s="780" t="s">
        <v>291</v>
      </c>
      <c r="J94" s="1342">
        <f t="shared" si="15"/>
        <v>-834194.31</v>
      </c>
      <c r="K94" s="1326" t="str">
        <f t="shared" si="10"/>
        <v xml:space="preserve"> </v>
      </c>
      <c r="L94" s="1326" t="str">
        <f t="shared" si="11"/>
        <v xml:space="preserve"> </v>
      </c>
      <c r="M94" s="1342" t="str">
        <f t="shared" si="12"/>
        <v xml:space="preserve"> </v>
      </c>
      <c r="N94" s="1342" t="str">
        <f t="shared" si="14"/>
        <v xml:space="preserve"> </v>
      </c>
      <c r="P94"/>
    </row>
    <row r="95" spans="3:16">
      <c r="C95" s="1806">
        <v>2831001</v>
      </c>
      <c r="D95" s="1349" t="s">
        <v>337</v>
      </c>
      <c r="E95" s="1806">
        <v>7459</v>
      </c>
      <c r="F95" s="778"/>
      <c r="G95" s="777" t="s">
        <v>1811</v>
      </c>
      <c r="H95" s="779">
        <v>-4556144.21</v>
      </c>
      <c r="I95" s="780" t="s">
        <v>291</v>
      </c>
      <c r="J95" s="1342">
        <f t="shared" si="15"/>
        <v>-4556144.21</v>
      </c>
      <c r="K95" s="1326" t="str">
        <f t="shared" si="10"/>
        <v xml:space="preserve"> </v>
      </c>
      <c r="L95" s="1326" t="str">
        <f t="shared" si="11"/>
        <v xml:space="preserve"> </v>
      </c>
      <c r="M95" s="1342" t="str">
        <f t="shared" si="12"/>
        <v xml:space="preserve"> </v>
      </c>
      <c r="N95" s="1342" t="str">
        <f t="shared" si="14"/>
        <v xml:space="preserve"> </v>
      </c>
      <c r="P95"/>
    </row>
    <row r="96" spans="3:16">
      <c r="C96" s="1806">
        <v>2831001</v>
      </c>
      <c r="D96" s="1349"/>
      <c r="E96" s="1806">
        <v>7486</v>
      </c>
      <c r="F96" s="778"/>
      <c r="G96" s="777" t="s">
        <v>1812</v>
      </c>
      <c r="H96" s="779">
        <v>-143246.51999999999</v>
      </c>
      <c r="I96" s="780" t="s">
        <v>291</v>
      </c>
      <c r="J96" s="1342">
        <f t="shared" si="15"/>
        <v>-143246.51999999999</v>
      </c>
      <c r="K96" s="1326" t="str">
        <f t="shared" si="10"/>
        <v xml:space="preserve"> </v>
      </c>
      <c r="L96" s="1326" t="str">
        <f t="shared" si="11"/>
        <v xml:space="preserve"> </v>
      </c>
      <c r="M96" s="1342" t="str">
        <f t="shared" si="12"/>
        <v xml:space="preserve"> </v>
      </c>
      <c r="N96" s="1342" t="str">
        <f t="shared" si="14"/>
        <v xml:space="preserve"> </v>
      </c>
      <c r="P96"/>
    </row>
    <row r="97" spans="3:16">
      <c r="C97" s="1806">
        <v>2831001</v>
      </c>
      <c r="D97" s="1349"/>
      <c r="E97" s="1806">
        <v>7487</v>
      </c>
      <c r="F97" s="778"/>
      <c r="G97" s="777" t="s">
        <v>1813</v>
      </c>
      <c r="H97" s="779">
        <v>-8134298.96</v>
      </c>
      <c r="I97" s="780" t="s">
        <v>291</v>
      </c>
      <c r="J97" s="1342">
        <f t="shared" si="15"/>
        <v>-8134298.96</v>
      </c>
      <c r="K97" s="1326" t="str">
        <f t="shared" si="10"/>
        <v xml:space="preserve"> </v>
      </c>
      <c r="L97" s="1326" t="str">
        <f t="shared" si="11"/>
        <v xml:space="preserve"> </v>
      </c>
      <c r="M97" s="1342" t="str">
        <f t="shared" si="12"/>
        <v xml:space="preserve"> </v>
      </c>
      <c r="N97" s="1342" t="str">
        <f t="shared" si="14"/>
        <v xml:space="preserve"> </v>
      </c>
      <c r="P97"/>
    </row>
    <row r="98" spans="3:16">
      <c r="C98" s="1806">
        <v>2831001</v>
      </c>
      <c r="D98" s="1349"/>
      <c r="E98" s="1806">
        <v>7488</v>
      </c>
      <c r="F98" s="778"/>
      <c r="G98" s="777" t="s">
        <v>1719</v>
      </c>
      <c r="H98" s="779">
        <v>-19735068.75</v>
      </c>
      <c r="I98" s="780" t="s">
        <v>291</v>
      </c>
      <c r="J98" s="1342">
        <f t="shared" si="15"/>
        <v>-19735068.75</v>
      </c>
      <c r="K98" s="1326" t="str">
        <f t="shared" si="10"/>
        <v xml:space="preserve"> </v>
      </c>
      <c r="L98" s="1326" t="str">
        <f t="shared" si="11"/>
        <v xml:space="preserve"> </v>
      </c>
      <c r="M98" s="1342" t="str">
        <f t="shared" si="12"/>
        <v xml:space="preserve"> </v>
      </c>
      <c r="N98" s="1342" t="str">
        <f t="shared" si="14"/>
        <v xml:space="preserve"> </v>
      </c>
      <c r="P98"/>
    </row>
    <row r="99" spans="3:16">
      <c r="C99" s="1806">
        <v>2831001</v>
      </c>
      <c r="D99" s="1349"/>
      <c r="E99" s="1806">
        <v>7489</v>
      </c>
      <c r="F99" s="778"/>
      <c r="G99" s="777" t="s">
        <v>1720</v>
      </c>
      <c r="H99" s="779">
        <v>5661651.0999999996</v>
      </c>
      <c r="I99" s="780" t="s">
        <v>291</v>
      </c>
      <c r="J99" s="1342">
        <f t="shared" ref="J99" si="18">IF(I99="e",H99," ")</f>
        <v>5661651.0999999996</v>
      </c>
      <c r="K99" s="1326" t="str">
        <f t="shared" si="10"/>
        <v xml:space="preserve"> </v>
      </c>
      <c r="L99" s="1326" t="str">
        <f t="shared" si="11"/>
        <v xml:space="preserve"> </v>
      </c>
      <c r="M99" s="1342" t="str">
        <f t="shared" si="12"/>
        <v xml:space="preserve"> </v>
      </c>
      <c r="N99" s="1342" t="str">
        <f t="shared" ref="N99" si="19">IF(I99="Labor",H99," ")</f>
        <v xml:space="preserve"> </v>
      </c>
      <c r="P99"/>
    </row>
    <row r="100" spans="3:16">
      <c r="C100" s="1806">
        <v>2831001</v>
      </c>
      <c r="D100" s="1349"/>
      <c r="E100" s="1806">
        <v>7493</v>
      </c>
      <c r="F100" s="778"/>
      <c r="G100" s="777" t="s">
        <v>1814</v>
      </c>
      <c r="H100" s="779">
        <v>1930457.63</v>
      </c>
      <c r="I100" s="780" t="s">
        <v>291</v>
      </c>
      <c r="J100" s="1342">
        <f t="shared" si="15"/>
        <v>1930457.63</v>
      </c>
      <c r="K100" s="1326" t="str">
        <f t="shared" si="10"/>
        <v xml:space="preserve"> </v>
      </c>
      <c r="L100" s="1326" t="str">
        <f t="shared" si="11"/>
        <v xml:space="preserve"> </v>
      </c>
      <c r="M100" s="1342" t="str">
        <f t="shared" si="12"/>
        <v xml:space="preserve"> </v>
      </c>
      <c r="N100" s="1342" t="str">
        <f t="shared" si="14"/>
        <v xml:space="preserve"> </v>
      </c>
      <c r="P100"/>
    </row>
    <row r="101" spans="3:16">
      <c r="C101" s="1806">
        <v>2831001</v>
      </c>
      <c r="D101" s="1349" t="s">
        <v>337</v>
      </c>
      <c r="E101" s="1806">
        <v>7494</v>
      </c>
      <c r="F101" s="778"/>
      <c r="G101" s="777" t="s">
        <v>1815</v>
      </c>
      <c r="H101" s="779">
        <v>-242597.65</v>
      </c>
      <c r="I101" s="780" t="s">
        <v>291</v>
      </c>
      <c r="J101" s="1342">
        <f t="shared" si="15"/>
        <v>-242597.65</v>
      </c>
      <c r="K101" s="1326" t="str">
        <f t="shared" si="10"/>
        <v xml:space="preserve"> </v>
      </c>
      <c r="L101" s="1326" t="str">
        <f t="shared" si="11"/>
        <v xml:space="preserve"> </v>
      </c>
      <c r="M101" s="1342" t="str">
        <f t="shared" si="12"/>
        <v xml:space="preserve"> </v>
      </c>
      <c r="N101" s="1342" t="str">
        <f t="shared" si="14"/>
        <v xml:space="preserve"> </v>
      </c>
      <c r="P101"/>
    </row>
    <row r="102" spans="3:16">
      <c r="C102" s="1806">
        <v>2831001</v>
      </c>
      <c r="D102" s="1349" t="s">
        <v>337</v>
      </c>
      <c r="E102" s="1806">
        <v>7495</v>
      </c>
      <c r="F102" s="778"/>
      <c r="G102" s="777" t="s">
        <v>1816</v>
      </c>
      <c r="H102" s="779">
        <v>-1733681.73</v>
      </c>
      <c r="I102" s="780" t="s">
        <v>291</v>
      </c>
      <c r="J102" s="1342">
        <f t="shared" si="15"/>
        <v>-1733681.73</v>
      </c>
      <c r="K102" s="1326" t="str">
        <f t="shared" si="10"/>
        <v xml:space="preserve"> </v>
      </c>
      <c r="L102" s="1326" t="str">
        <f t="shared" si="11"/>
        <v xml:space="preserve"> </v>
      </c>
      <c r="M102" s="1342" t="str">
        <f t="shared" si="12"/>
        <v xml:space="preserve"> </v>
      </c>
      <c r="N102" s="1342" t="str">
        <f t="shared" si="14"/>
        <v xml:space="preserve"> </v>
      </c>
      <c r="P102"/>
    </row>
    <row r="103" spans="3:16">
      <c r="C103" s="1806">
        <v>2831001</v>
      </c>
      <c r="D103" s="1349" t="s">
        <v>337</v>
      </c>
      <c r="E103" s="1806">
        <v>7504</v>
      </c>
      <c r="F103" s="778"/>
      <c r="G103" s="777" t="s">
        <v>1817</v>
      </c>
      <c r="H103" s="779">
        <v>-378559.66</v>
      </c>
      <c r="I103" s="780" t="s">
        <v>291</v>
      </c>
      <c r="J103" s="1342">
        <f t="shared" si="15"/>
        <v>-378559.66</v>
      </c>
      <c r="K103" s="1326" t="str">
        <f t="shared" si="10"/>
        <v xml:space="preserve"> </v>
      </c>
      <c r="L103" s="1326" t="str">
        <f t="shared" si="11"/>
        <v xml:space="preserve"> </v>
      </c>
      <c r="M103" s="1342" t="str">
        <f t="shared" si="12"/>
        <v xml:space="preserve"> </v>
      </c>
      <c r="N103" s="1342" t="str">
        <f t="shared" si="14"/>
        <v xml:space="preserve"> </v>
      </c>
      <c r="P103"/>
    </row>
    <row r="104" spans="3:16">
      <c r="C104" s="1806">
        <v>2831001</v>
      </c>
      <c r="D104" s="1349" t="s">
        <v>337</v>
      </c>
      <c r="E104" s="1806">
        <v>7505</v>
      </c>
      <c r="F104" s="778"/>
      <c r="G104" s="777" t="s">
        <v>1818</v>
      </c>
      <c r="H104" s="779">
        <v>-398377.98</v>
      </c>
      <c r="I104" s="780" t="s">
        <v>291</v>
      </c>
      <c r="J104" s="1342">
        <f t="shared" si="15"/>
        <v>-398377.98</v>
      </c>
      <c r="K104" s="1326" t="str">
        <f t="shared" si="10"/>
        <v xml:space="preserve"> </v>
      </c>
      <c r="L104" s="1326" t="str">
        <f t="shared" si="11"/>
        <v xml:space="preserve"> </v>
      </c>
      <c r="M104" s="1342" t="str">
        <f t="shared" si="12"/>
        <v xml:space="preserve"> </v>
      </c>
      <c r="N104" s="1342" t="str">
        <f t="shared" si="14"/>
        <v xml:space="preserve"> </v>
      </c>
      <c r="P104"/>
    </row>
    <row r="105" spans="3:16">
      <c r="C105" s="1806">
        <v>2831001</v>
      </c>
      <c r="D105" s="1349" t="s">
        <v>337</v>
      </c>
      <c r="E105" s="1806">
        <v>7506</v>
      </c>
      <c r="F105" s="778"/>
      <c r="G105" s="777" t="s">
        <v>1819</v>
      </c>
      <c r="H105" s="779">
        <v>3258.54</v>
      </c>
      <c r="I105" s="780" t="s">
        <v>291</v>
      </c>
      <c r="J105" s="1342">
        <f t="shared" si="15"/>
        <v>3258.54</v>
      </c>
      <c r="K105" s="1326" t="str">
        <f t="shared" si="10"/>
        <v xml:space="preserve"> </v>
      </c>
      <c r="L105" s="1326" t="str">
        <f t="shared" si="11"/>
        <v xml:space="preserve"> </v>
      </c>
      <c r="M105" s="1342" t="str">
        <f t="shared" si="12"/>
        <v xml:space="preserve"> </v>
      </c>
      <c r="N105" s="1342" t="str">
        <f t="shared" si="14"/>
        <v xml:space="preserve"> </v>
      </c>
      <c r="P105"/>
    </row>
    <row r="106" spans="3:16">
      <c r="C106" s="1806">
        <v>2831001</v>
      </c>
      <c r="D106" s="1349" t="s">
        <v>337</v>
      </c>
      <c r="E106" s="1806">
        <v>7507</v>
      </c>
      <c r="F106" s="778"/>
      <c r="G106" s="777" t="s">
        <v>1820</v>
      </c>
      <c r="H106" s="779">
        <v>-2786519.15</v>
      </c>
      <c r="I106" s="780" t="s">
        <v>291</v>
      </c>
      <c r="J106" s="1342">
        <f t="shared" si="15"/>
        <v>-2786519.15</v>
      </c>
      <c r="K106" s="1326" t="str">
        <f t="shared" si="10"/>
        <v xml:space="preserve"> </v>
      </c>
      <c r="L106" s="1326" t="str">
        <f t="shared" si="11"/>
        <v xml:space="preserve"> </v>
      </c>
      <c r="M106" s="1342" t="str">
        <f t="shared" si="12"/>
        <v xml:space="preserve"> </v>
      </c>
      <c r="N106" s="1342" t="str">
        <f t="shared" si="14"/>
        <v xml:space="preserve"> </v>
      </c>
      <c r="P106"/>
    </row>
    <row r="107" spans="3:16">
      <c r="C107" s="1806">
        <v>2831001</v>
      </c>
      <c r="D107" s="1349" t="s">
        <v>337</v>
      </c>
      <c r="E107" s="1806">
        <v>7508</v>
      </c>
      <c r="F107" s="778"/>
      <c r="G107" s="777" t="s">
        <v>1821</v>
      </c>
      <c r="H107" s="779">
        <v>90546.93</v>
      </c>
      <c r="I107" s="780" t="s">
        <v>291</v>
      </c>
      <c r="J107" s="1342">
        <f t="shared" si="15"/>
        <v>90546.93</v>
      </c>
      <c r="K107" s="1326" t="str">
        <f t="shared" si="10"/>
        <v xml:space="preserve"> </v>
      </c>
      <c r="L107" s="1326" t="str">
        <f t="shared" si="11"/>
        <v xml:space="preserve"> </v>
      </c>
      <c r="M107" s="1342" t="str">
        <f t="shared" si="12"/>
        <v xml:space="preserve"> </v>
      </c>
      <c r="N107" s="1342" t="str">
        <f t="shared" si="14"/>
        <v xml:space="preserve"> </v>
      </c>
      <c r="P107"/>
    </row>
    <row r="108" spans="3:16">
      <c r="C108" s="1806">
        <v>2831001</v>
      </c>
      <c r="D108" s="1349" t="s">
        <v>337</v>
      </c>
      <c r="E108" s="1806">
        <v>7509</v>
      </c>
      <c r="F108" s="778"/>
      <c r="G108" s="777" t="s">
        <v>1822</v>
      </c>
      <c r="H108" s="779">
        <v>-194734.06</v>
      </c>
      <c r="I108" s="780" t="s">
        <v>291</v>
      </c>
      <c r="J108" s="1342">
        <f t="shared" si="15"/>
        <v>-194734.06</v>
      </c>
      <c r="K108" s="1326" t="str">
        <f t="shared" si="10"/>
        <v xml:space="preserve"> </v>
      </c>
      <c r="L108" s="1326" t="str">
        <f t="shared" si="11"/>
        <v xml:space="preserve"> </v>
      </c>
      <c r="M108" s="1342" t="str">
        <f t="shared" si="12"/>
        <v xml:space="preserve"> </v>
      </c>
      <c r="N108" s="1342" t="str">
        <f t="shared" si="14"/>
        <v xml:space="preserve"> </v>
      </c>
      <c r="P108"/>
    </row>
    <row r="109" spans="3:16">
      <c r="C109" s="1806">
        <v>2831001</v>
      </c>
      <c r="D109" s="1349"/>
      <c r="E109" s="1806">
        <v>7512</v>
      </c>
      <c r="F109" s="778"/>
      <c r="G109" s="777" t="s">
        <v>1823</v>
      </c>
      <c r="H109" s="779">
        <v>-0.2</v>
      </c>
      <c r="I109" s="780" t="s">
        <v>291</v>
      </c>
      <c r="J109" s="1342">
        <f t="shared" si="15"/>
        <v>-0.2</v>
      </c>
      <c r="K109" s="1326" t="str">
        <f t="shared" si="10"/>
        <v xml:space="preserve"> </v>
      </c>
      <c r="L109" s="1326" t="str">
        <f t="shared" si="11"/>
        <v xml:space="preserve"> </v>
      </c>
      <c r="M109" s="1342" t="str">
        <f t="shared" si="12"/>
        <v xml:space="preserve"> </v>
      </c>
      <c r="N109" s="1342" t="str">
        <f t="shared" si="14"/>
        <v xml:space="preserve"> </v>
      </c>
      <c r="P109"/>
    </row>
    <row r="110" spans="3:16">
      <c r="C110" s="1806">
        <v>2831001</v>
      </c>
      <c r="D110" s="1349"/>
      <c r="E110" s="1806">
        <v>7522</v>
      </c>
      <c r="F110" s="778"/>
      <c r="G110" s="777" t="s">
        <v>1824</v>
      </c>
      <c r="H110" s="779">
        <v>-3985513.33</v>
      </c>
      <c r="I110" s="780" t="s">
        <v>291</v>
      </c>
      <c r="J110" s="1342">
        <f t="shared" si="15"/>
        <v>-3985513.33</v>
      </c>
      <c r="K110" s="1326" t="str">
        <f t="shared" si="10"/>
        <v xml:space="preserve"> </v>
      </c>
      <c r="L110" s="1326" t="str">
        <f t="shared" si="11"/>
        <v xml:space="preserve"> </v>
      </c>
      <c r="M110" s="1342" t="str">
        <f t="shared" si="12"/>
        <v xml:space="preserve"> </v>
      </c>
      <c r="N110" s="1342" t="str">
        <f t="shared" si="14"/>
        <v xml:space="preserve"> </v>
      </c>
      <c r="P110"/>
    </row>
    <row r="111" spans="3:16">
      <c r="C111" s="1806">
        <v>2831001</v>
      </c>
      <c r="D111" s="1349"/>
      <c r="E111" s="1806">
        <v>7523</v>
      </c>
      <c r="F111" s="778"/>
      <c r="G111" s="777" t="s">
        <v>1825</v>
      </c>
      <c r="H111" s="779">
        <v>-14058306.25</v>
      </c>
      <c r="I111" s="780" t="s">
        <v>291</v>
      </c>
      <c r="J111" s="1342">
        <f t="shared" si="15"/>
        <v>-14058306.25</v>
      </c>
      <c r="K111" s="1326" t="str">
        <f t="shared" si="10"/>
        <v xml:space="preserve"> </v>
      </c>
      <c r="L111" s="1326" t="str">
        <f t="shared" si="11"/>
        <v xml:space="preserve"> </v>
      </c>
      <c r="M111" s="1342" t="str">
        <f t="shared" si="12"/>
        <v xml:space="preserve"> </v>
      </c>
      <c r="N111" s="1342" t="str">
        <f t="shared" si="14"/>
        <v xml:space="preserve"> </v>
      </c>
      <c r="P111"/>
    </row>
    <row r="112" spans="3:16">
      <c r="C112" s="1806">
        <v>2831001</v>
      </c>
      <c r="D112" s="1349"/>
      <c r="E112" s="1806">
        <v>7527</v>
      </c>
      <c r="F112" s="778"/>
      <c r="G112" s="777" t="s">
        <v>1826</v>
      </c>
      <c r="H112" s="779">
        <v>269483.61</v>
      </c>
      <c r="I112" s="780" t="s">
        <v>291</v>
      </c>
      <c r="J112" s="1342">
        <f t="shared" si="15"/>
        <v>269483.61</v>
      </c>
      <c r="K112" s="1326" t="str">
        <f t="shared" si="10"/>
        <v xml:space="preserve"> </v>
      </c>
      <c r="L112" s="1326" t="str">
        <f t="shared" si="11"/>
        <v xml:space="preserve"> </v>
      </c>
      <c r="M112" s="1342" t="str">
        <f t="shared" si="12"/>
        <v xml:space="preserve"> </v>
      </c>
      <c r="N112" s="1342" t="str">
        <f t="shared" si="14"/>
        <v xml:space="preserve"> </v>
      </c>
      <c r="P112"/>
    </row>
    <row r="113" spans="3:16">
      <c r="C113" s="1806">
        <v>2831001</v>
      </c>
      <c r="D113"/>
      <c r="E113" s="1806">
        <v>7528</v>
      </c>
      <c r="F113"/>
      <c r="G113" s="777" t="s">
        <v>1827</v>
      </c>
      <c r="H113" s="779">
        <v>-7431369.0099999998</v>
      </c>
      <c r="I113" s="780" t="s">
        <v>291</v>
      </c>
      <c r="J113" s="1342">
        <f t="shared" si="15"/>
        <v>-7431369.0099999998</v>
      </c>
      <c r="K113" s="1326" t="str">
        <f t="shared" si="10"/>
        <v xml:space="preserve"> </v>
      </c>
      <c r="L113" s="1326" t="str">
        <f t="shared" si="11"/>
        <v xml:space="preserve"> </v>
      </c>
      <c r="M113" s="1342" t="str">
        <f t="shared" si="12"/>
        <v xml:space="preserve"> </v>
      </c>
      <c r="N113" s="1342" t="str">
        <f t="shared" si="14"/>
        <v xml:space="preserve"> </v>
      </c>
      <c r="P113"/>
    </row>
    <row r="114" spans="3:16">
      <c r="C114" s="1806">
        <v>2831001</v>
      </c>
      <c r="D114"/>
      <c r="E114" s="1806">
        <v>7529</v>
      </c>
      <c r="F114"/>
      <c r="G114" s="777" t="s">
        <v>1828</v>
      </c>
      <c r="H114" s="779">
        <v>403934.24</v>
      </c>
      <c r="I114" s="780" t="s">
        <v>291</v>
      </c>
      <c r="J114" s="1342">
        <f t="shared" si="15"/>
        <v>403934.24</v>
      </c>
      <c r="K114" s="1326" t="str">
        <f t="shared" si="10"/>
        <v xml:space="preserve"> </v>
      </c>
      <c r="L114" s="1326" t="str">
        <f t="shared" si="11"/>
        <v xml:space="preserve"> </v>
      </c>
      <c r="M114" s="1342" t="str">
        <f t="shared" si="12"/>
        <v xml:space="preserve"> </v>
      </c>
      <c r="N114" s="1342" t="str">
        <f t="shared" si="14"/>
        <v xml:space="preserve"> </v>
      </c>
      <c r="P114"/>
    </row>
    <row r="115" spans="3:16">
      <c r="C115" s="1806">
        <v>2831001</v>
      </c>
      <c r="D115"/>
      <c r="E115" s="1806">
        <v>7531</v>
      </c>
      <c r="F115"/>
      <c r="G115" s="777" t="s">
        <v>1829</v>
      </c>
      <c r="H115" s="779">
        <v>0</v>
      </c>
      <c r="I115" s="780" t="s">
        <v>291</v>
      </c>
      <c r="J115" s="1342">
        <f t="shared" si="15"/>
        <v>0</v>
      </c>
      <c r="K115" s="1326" t="str">
        <f t="shared" si="10"/>
        <v xml:space="preserve"> </v>
      </c>
      <c r="L115" s="1326" t="str">
        <f t="shared" si="11"/>
        <v xml:space="preserve"> </v>
      </c>
      <c r="M115" s="1342" t="str">
        <f t="shared" si="12"/>
        <v xml:space="preserve"> </v>
      </c>
      <c r="N115" s="1342" t="str">
        <f t="shared" si="14"/>
        <v xml:space="preserve"> </v>
      </c>
      <c r="P115"/>
    </row>
    <row r="116" spans="3:16">
      <c r="C116" s="1806">
        <v>2831001</v>
      </c>
      <c r="D116"/>
      <c r="E116" s="1806">
        <v>7532</v>
      </c>
      <c r="F116"/>
      <c r="G116" s="777" t="s">
        <v>1830</v>
      </c>
      <c r="H116" s="779">
        <v>-16221567.42</v>
      </c>
      <c r="I116" s="780" t="s">
        <v>291</v>
      </c>
      <c r="J116" s="1342">
        <f t="shared" si="15"/>
        <v>-16221567.42</v>
      </c>
      <c r="K116" s="1326" t="str">
        <f t="shared" si="10"/>
        <v xml:space="preserve"> </v>
      </c>
      <c r="L116" s="1326" t="str">
        <f t="shared" si="11"/>
        <v xml:space="preserve"> </v>
      </c>
      <c r="M116" s="1342" t="str">
        <f t="shared" si="12"/>
        <v xml:space="preserve"> </v>
      </c>
      <c r="N116" s="1342" t="str">
        <f t="shared" si="14"/>
        <v xml:space="preserve"> </v>
      </c>
      <c r="P116"/>
    </row>
    <row r="117" spans="3:16">
      <c r="C117" s="1806">
        <v>2831001</v>
      </c>
      <c r="D117"/>
      <c r="E117" s="1806">
        <v>7533</v>
      </c>
      <c r="F117"/>
      <c r="G117" s="777" t="s">
        <v>1831</v>
      </c>
      <c r="H117" s="779">
        <v>-149100.03</v>
      </c>
      <c r="I117" s="780" t="s">
        <v>291</v>
      </c>
      <c r="J117" s="1342">
        <f>H117</f>
        <v>-149100.03</v>
      </c>
      <c r="K117" s="1326"/>
      <c r="L117" s="1326"/>
      <c r="M117" s="1342"/>
      <c r="N117" s="1342"/>
      <c r="P117"/>
    </row>
    <row r="118" spans="3:16">
      <c r="C118" s="1806">
        <v>2831001</v>
      </c>
      <c r="D118"/>
      <c r="E118" s="1806">
        <v>7538</v>
      </c>
      <c r="F118"/>
      <c r="G118" s="777" t="s">
        <v>1832</v>
      </c>
      <c r="H118" s="779">
        <v>-4038.04</v>
      </c>
      <c r="I118" s="780" t="s">
        <v>291</v>
      </c>
      <c r="J118" s="1342">
        <f t="shared" si="15"/>
        <v>-4038.04</v>
      </c>
      <c r="K118" s="1326" t="str">
        <f t="shared" si="10"/>
        <v xml:space="preserve"> </v>
      </c>
      <c r="L118" s="1326" t="str">
        <f t="shared" si="11"/>
        <v xml:space="preserve"> </v>
      </c>
      <c r="M118" s="1342" t="str">
        <f t="shared" si="12"/>
        <v xml:space="preserve"> </v>
      </c>
      <c r="N118" s="1342" t="str">
        <f t="shared" si="14"/>
        <v xml:space="preserve"> </v>
      </c>
      <c r="P118"/>
    </row>
    <row r="119" spans="3:16">
      <c r="C119" s="1806">
        <v>2831001</v>
      </c>
      <c r="D119"/>
      <c r="E119" s="1806">
        <v>7540</v>
      </c>
      <c r="F119"/>
      <c r="G119" s="777" t="s">
        <v>1833</v>
      </c>
      <c r="H119" s="779">
        <v>-33851.93</v>
      </c>
      <c r="I119" s="780" t="s">
        <v>291</v>
      </c>
      <c r="J119" s="1342">
        <f t="shared" si="15"/>
        <v>-33851.93</v>
      </c>
      <c r="K119" s="1326" t="str">
        <f t="shared" ref="K119:K137" si="20">IF($I119="T",$H119," ")</f>
        <v xml:space="preserve"> </v>
      </c>
      <c r="L119" s="1326" t="str">
        <f t="shared" ref="L119:L137" si="21">IF($I119="PTD",$H119," ")</f>
        <v xml:space="preserve"> </v>
      </c>
      <c r="M119" s="1342" t="str">
        <f t="shared" ref="M119:M137" si="22">IF($I119="T&amp;D",$H119," ")</f>
        <v xml:space="preserve"> </v>
      </c>
      <c r="N119" s="1342" t="str">
        <f t="shared" si="14"/>
        <v xml:space="preserve"> </v>
      </c>
      <c r="P119"/>
    </row>
    <row r="120" spans="3:16">
      <c r="C120" s="1806">
        <v>2831001</v>
      </c>
      <c r="D120"/>
      <c r="E120" s="1806">
        <v>7544</v>
      </c>
      <c r="F120"/>
      <c r="G120" s="777" t="s">
        <v>1834</v>
      </c>
      <c r="H120" s="779">
        <v>3655294.22</v>
      </c>
      <c r="I120" s="780" t="s">
        <v>291</v>
      </c>
      <c r="J120" s="1342">
        <f t="shared" ref="J120:J136" si="23">IF(I120="e",H120," ")</f>
        <v>3655294.22</v>
      </c>
      <c r="K120" s="1326" t="str">
        <f t="shared" si="20"/>
        <v xml:space="preserve"> </v>
      </c>
      <c r="L120" s="1326" t="str">
        <f t="shared" si="21"/>
        <v xml:space="preserve"> </v>
      </c>
      <c r="M120" s="1342" t="str">
        <f t="shared" si="22"/>
        <v xml:space="preserve"> </v>
      </c>
      <c r="N120" s="1342" t="str">
        <f t="shared" ref="N120:N136" si="24">IF(I120="Labor",H120," ")</f>
        <v xml:space="preserve"> </v>
      </c>
      <c r="P120"/>
    </row>
    <row r="121" spans="3:16">
      <c r="C121" s="1806">
        <v>2831001</v>
      </c>
      <c r="D121"/>
      <c r="E121" s="1806">
        <v>7559</v>
      </c>
      <c r="F121"/>
      <c r="G121" s="777" t="s">
        <v>1722</v>
      </c>
      <c r="H121" s="779">
        <v>-81861.39</v>
      </c>
      <c r="I121" s="780" t="s">
        <v>291</v>
      </c>
      <c r="J121" s="1342">
        <f t="shared" si="23"/>
        <v>-81861.39</v>
      </c>
      <c r="K121" s="1326" t="str">
        <f t="shared" si="20"/>
        <v xml:space="preserve"> </v>
      </c>
      <c r="L121" s="1326" t="str">
        <f t="shared" si="21"/>
        <v xml:space="preserve"> </v>
      </c>
      <c r="M121" s="1342" t="str">
        <f t="shared" si="22"/>
        <v xml:space="preserve"> </v>
      </c>
      <c r="N121" s="1342" t="str">
        <f t="shared" si="24"/>
        <v xml:space="preserve"> </v>
      </c>
      <c r="P121"/>
    </row>
    <row r="122" spans="3:16">
      <c r="C122" s="1806">
        <v>2831001</v>
      </c>
      <c r="D122"/>
      <c r="E122" s="1806">
        <v>7567</v>
      </c>
      <c r="F122"/>
      <c r="G122" s="777" t="s">
        <v>1835</v>
      </c>
      <c r="H122" s="779">
        <v>-0.01</v>
      </c>
      <c r="I122" s="780" t="s">
        <v>291</v>
      </c>
      <c r="J122" s="1342">
        <f t="shared" ref="J122:J130" si="25">H122</f>
        <v>-0.01</v>
      </c>
      <c r="K122" s="1326"/>
      <c r="L122" s="1326"/>
      <c r="M122" s="1342"/>
      <c r="N122" s="1342"/>
      <c r="P122"/>
    </row>
    <row r="123" spans="3:16">
      <c r="C123" s="1806">
        <v>2831001</v>
      </c>
      <c r="D123"/>
      <c r="E123" s="1806">
        <v>7571</v>
      </c>
      <c r="F123"/>
      <c r="G123" s="777" t="s">
        <v>1723</v>
      </c>
      <c r="H123" s="779">
        <v>-745205.74</v>
      </c>
      <c r="I123" s="780" t="s">
        <v>158</v>
      </c>
      <c r="J123" s="1342"/>
      <c r="K123" s="1326"/>
      <c r="L123" s="1326">
        <f>H123</f>
        <v>-745205.74</v>
      </c>
      <c r="M123" s="1342"/>
      <c r="N123" s="1342"/>
      <c r="P123"/>
    </row>
    <row r="124" spans="3:16">
      <c r="C124" s="1806">
        <v>2831001</v>
      </c>
      <c r="D124"/>
      <c r="E124" s="1806">
        <v>7572</v>
      </c>
      <c r="F124"/>
      <c r="G124" s="777" t="s">
        <v>1836</v>
      </c>
      <c r="H124" s="779">
        <v>0.54</v>
      </c>
      <c r="I124" s="780" t="s">
        <v>158</v>
      </c>
      <c r="J124" s="1342"/>
      <c r="K124" s="1326"/>
      <c r="L124" s="1326">
        <f>H124</f>
        <v>0.54</v>
      </c>
      <c r="M124" s="1342"/>
      <c r="N124" s="1342"/>
      <c r="P124"/>
    </row>
    <row r="125" spans="3:16">
      <c r="C125" s="1806">
        <v>2831001</v>
      </c>
      <c r="D125"/>
      <c r="E125" s="1806">
        <v>7575</v>
      </c>
      <c r="F125"/>
      <c r="G125" s="777" t="s">
        <v>1724</v>
      </c>
      <c r="H125" s="779">
        <v>-17313806.98</v>
      </c>
      <c r="I125" s="780" t="s">
        <v>300</v>
      </c>
      <c r="J125" s="1342"/>
      <c r="K125" s="1326"/>
      <c r="L125" s="1326"/>
      <c r="M125" s="1342"/>
      <c r="N125" s="1342">
        <f>H125</f>
        <v>-17313806.98</v>
      </c>
      <c r="P125"/>
    </row>
    <row r="126" spans="3:16">
      <c r="C126" s="1806">
        <v>2831001</v>
      </c>
      <c r="D126"/>
      <c r="E126" s="1806">
        <v>7580</v>
      </c>
      <c r="F126"/>
      <c r="G126" s="777" t="s">
        <v>1748</v>
      </c>
      <c r="H126" s="779">
        <v>1737345.21</v>
      </c>
      <c r="I126" s="780" t="s">
        <v>300</v>
      </c>
      <c r="J126" s="1342"/>
      <c r="K126" s="1326"/>
      <c r="L126" s="1326"/>
      <c r="M126" s="1342"/>
      <c r="N126" s="1342">
        <f>H126</f>
        <v>1737345.21</v>
      </c>
      <c r="P126"/>
    </row>
    <row r="127" spans="3:16">
      <c r="C127" s="1806">
        <v>2831001</v>
      </c>
      <c r="D127"/>
      <c r="E127" s="1806">
        <v>7583</v>
      </c>
      <c r="F127"/>
      <c r="G127" s="777" t="s">
        <v>1725</v>
      </c>
      <c r="H127" s="779">
        <v>0.62</v>
      </c>
      <c r="I127" s="780" t="s">
        <v>291</v>
      </c>
      <c r="J127" s="1342">
        <f t="shared" si="25"/>
        <v>0.62</v>
      </c>
      <c r="K127" s="1326"/>
      <c r="L127" s="1326"/>
      <c r="M127" s="1342"/>
      <c r="N127" s="1342"/>
      <c r="P127"/>
    </row>
    <row r="128" spans="3:16">
      <c r="C128" s="1806">
        <v>2831001</v>
      </c>
      <c r="D128"/>
      <c r="E128" s="1806">
        <v>7592</v>
      </c>
      <c r="F128"/>
      <c r="G128" s="777" t="s">
        <v>1837</v>
      </c>
      <c r="H128" s="779">
        <v>-0.01</v>
      </c>
      <c r="I128" s="780" t="s">
        <v>291</v>
      </c>
      <c r="J128" s="1342">
        <f t="shared" si="25"/>
        <v>-0.01</v>
      </c>
      <c r="K128" s="1326"/>
      <c r="L128" s="1326"/>
      <c r="M128" s="1342"/>
      <c r="N128" s="1342"/>
      <c r="P128"/>
    </row>
    <row r="129" spans="3:17">
      <c r="C129" s="1806">
        <v>2831001</v>
      </c>
      <c r="D129"/>
      <c r="E129" s="1806">
        <v>7594</v>
      </c>
      <c r="F129"/>
      <c r="G129" s="777" t="s">
        <v>1838</v>
      </c>
      <c r="H129" s="779">
        <v>-1287338.01</v>
      </c>
      <c r="I129" s="780" t="s">
        <v>291</v>
      </c>
      <c r="J129" s="1342">
        <f t="shared" si="25"/>
        <v>-1287338.01</v>
      </c>
      <c r="K129" s="1326"/>
      <c r="L129" s="1326"/>
      <c r="M129" s="1342"/>
      <c r="N129" s="1342"/>
      <c r="P129"/>
    </row>
    <row r="130" spans="3:17">
      <c r="C130" s="1806">
        <v>2831001</v>
      </c>
      <c r="D130"/>
      <c r="E130" s="1806">
        <v>7614</v>
      </c>
      <c r="F130"/>
      <c r="G130" s="777" t="s">
        <v>1839</v>
      </c>
      <c r="H130" s="779">
        <v>-59656.27</v>
      </c>
      <c r="I130" s="780" t="s">
        <v>291</v>
      </c>
      <c r="J130" s="1342">
        <f t="shared" si="25"/>
        <v>-59656.27</v>
      </c>
      <c r="K130" s="1326"/>
      <c r="L130" s="1326"/>
      <c r="M130" s="1342"/>
      <c r="N130" s="1342"/>
      <c r="P130"/>
    </row>
    <row r="131" spans="3:17">
      <c r="C131" s="1806">
        <v>2831001</v>
      </c>
      <c r="D131"/>
      <c r="E131" s="1806">
        <v>7616</v>
      </c>
      <c r="F131"/>
      <c r="G131" s="777" t="s">
        <v>1840</v>
      </c>
      <c r="H131" s="779">
        <v>-4573.8500000000004</v>
      </c>
      <c r="I131" s="780" t="s">
        <v>291</v>
      </c>
      <c r="J131" s="1342">
        <f t="shared" si="23"/>
        <v>-4573.8500000000004</v>
      </c>
      <c r="K131" s="1326" t="str">
        <f t="shared" si="20"/>
        <v xml:space="preserve"> </v>
      </c>
      <c r="L131" s="1326" t="str">
        <f t="shared" si="21"/>
        <v xml:space="preserve"> </v>
      </c>
      <c r="M131" s="1342" t="str">
        <f t="shared" si="22"/>
        <v xml:space="preserve"> </v>
      </c>
      <c r="N131" s="1342" t="str">
        <f t="shared" si="24"/>
        <v xml:space="preserve"> </v>
      </c>
      <c r="P131"/>
    </row>
    <row r="132" spans="3:17">
      <c r="C132" s="1806">
        <v>2831001</v>
      </c>
      <c r="D132"/>
      <c r="E132" s="1806">
        <v>7618</v>
      </c>
      <c r="F132"/>
      <c r="G132" s="777" t="s">
        <v>1841</v>
      </c>
      <c r="H132" s="779">
        <v>-75149.08</v>
      </c>
      <c r="I132" s="780" t="s">
        <v>291</v>
      </c>
      <c r="J132" s="1342">
        <f t="shared" si="23"/>
        <v>-75149.08</v>
      </c>
      <c r="K132" s="1326" t="str">
        <f t="shared" si="20"/>
        <v xml:space="preserve"> </v>
      </c>
      <c r="L132" s="1326" t="str">
        <f t="shared" si="21"/>
        <v xml:space="preserve"> </v>
      </c>
      <c r="M132" s="1342" t="str">
        <f t="shared" si="22"/>
        <v xml:space="preserve"> </v>
      </c>
      <c r="N132" s="1342" t="str">
        <f t="shared" si="24"/>
        <v xml:space="preserve"> </v>
      </c>
      <c r="P132"/>
    </row>
    <row r="133" spans="3:17">
      <c r="C133" s="1806">
        <v>2831001</v>
      </c>
      <c r="D133"/>
      <c r="E133" s="1806">
        <v>7622</v>
      </c>
      <c r="F133"/>
      <c r="G133" s="777" t="s">
        <v>1842</v>
      </c>
      <c r="H133" s="779">
        <v>-38201.65</v>
      </c>
      <c r="I133" s="780" t="s">
        <v>291</v>
      </c>
      <c r="J133" s="1342">
        <f t="shared" si="23"/>
        <v>-38201.65</v>
      </c>
      <c r="K133" s="1326" t="str">
        <f t="shared" si="20"/>
        <v xml:space="preserve"> </v>
      </c>
      <c r="L133" s="1326" t="str">
        <f t="shared" si="21"/>
        <v xml:space="preserve"> </v>
      </c>
      <c r="M133" s="1342" t="str">
        <f t="shared" si="22"/>
        <v xml:space="preserve"> </v>
      </c>
      <c r="N133" s="1342" t="str">
        <f t="shared" si="24"/>
        <v xml:space="preserve"> </v>
      </c>
      <c r="P133"/>
    </row>
    <row r="134" spans="3:17">
      <c r="C134" s="1806">
        <v>2831001</v>
      </c>
      <c r="D134"/>
      <c r="E134" s="1806">
        <v>8023</v>
      </c>
      <c r="F134"/>
      <c r="G134" s="777" t="s">
        <v>1726</v>
      </c>
      <c r="H134" s="779">
        <v>0</v>
      </c>
      <c r="I134" s="780" t="s">
        <v>291</v>
      </c>
      <c r="J134" s="1342">
        <f t="shared" si="23"/>
        <v>0</v>
      </c>
      <c r="K134" s="1326" t="str">
        <f t="shared" si="20"/>
        <v xml:space="preserve"> </v>
      </c>
      <c r="L134" s="1326" t="str">
        <f t="shared" si="21"/>
        <v xml:space="preserve"> </v>
      </c>
      <c r="M134" s="1342" t="str">
        <f t="shared" si="22"/>
        <v xml:space="preserve"> </v>
      </c>
      <c r="N134" s="1342" t="str">
        <f t="shared" si="24"/>
        <v xml:space="preserve"> </v>
      </c>
      <c r="P134"/>
    </row>
    <row r="135" spans="3:17">
      <c r="C135" s="1806">
        <v>2831001</v>
      </c>
      <c r="D135"/>
      <c r="E135" s="1806">
        <v>8028</v>
      </c>
      <c r="F135"/>
      <c r="G135" s="777" t="s">
        <v>1843</v>
      </c>
      <c r="H135" s="779">
        <v>8788219.0199999996</v>
      </c>
      <c r="I135" s="780" t="s">
        <v>291</v>
      </c>
      <c r="J135" s="1342">
        <f t="shared" si="23"/>
        <v>8788219.0199999996</v>
      </c>
      <c r="K135" s="1326" t="str">
        <f t="shared" si="20"/>
        <v xml:space="preserve"> </v>
      </c>
      <c r="L135" s="1326" t="str">
        <f t="shared" si="21"/>
        <v xml:space="preserve"> </v>
      </c>
      <c r="M135" s="1342" t="str">
        <f t="shared" si="22"/>
        <v xml:space="preserve"> </v>
      </c>
      <c r="N135" s="1342" t="str">
        <f t="shared" si="24"/>
        <v xml:space="preserve"> </v>
      </c>
      <c r="P135"/>
    </row>
    <row r="136" spans="3:17">
      <c r="C136" s="1806">
        <v>2831001</v>
      </c>
      <c r="D136"/>
      <c r="E136" s="1806">
        <v>8030</v>
      </c>
      <c r="F136"/>
      <c r="G136" s="777" t="s">
        <v>1844</v>
      </c>
      <c r="H136" s="779">
        <v>833461.23</v>
      </c>
      <c r="I136" s="780" t="s">
        <v>291</v>
      </c>
      <c r="J136" s="1342">
        <f t="shared" si="23"/>
        <v>833461.23</v>
      </c>
      <c r="K136" s="1326" t="str">
        <f t="shared" si="20"/>
        <v xml:space="preserve"> </v>
      </c>
      <c r="L136" s="1326" t="str">
        <f t="shared" si="21"/>
        <v xml:space="preserve"> </v>
      </c>
      <c r="M136" s="1342" t="str">
        <f t="shared" si="22"/>
        <v xml:space="preserve"> </v>
      </c>
      <c r="N136" s="1342" t="str">
        <f t="shared" si="24"/>
        <v xml:space="preserve"> </v>
      </c>
      <c r="P136"/>
    </row>
    <row r="137" spans="3:17">
      <c r="C137" s="1806">
        <v>2831001</v>
      </c>
      <c r="D137"/>
      <c r="E137" s="1806">
        <v>8053</v>
      </c>
      <c r="F137"/>
      <c r="G137" s="777" t="s">
        <v>1727</v>
      </c>
      <c r="H137" s="779">
        <v>3842727.31</v>
      </c>
      <c r="I137" s="780" t="s">
        <v>300</v>
      </c>
      <c r="J137" s="1342" t="str">
        <f t="shared" ref="J137" si="26">IF(I137="e",H137," ")</f>
        <v xml:space="preserve"> </v>
      </c>
      <c r="K137" s="1326" t="str">
        <f t="shared" si="20"/>
        <v xml:space="preserve"> </v>
      </c>
      <c r="L137" s="1326" t="str">
        <f t="shared" si="21"/>
        <v xml:space="preserve"> </v>
      </c>
      <c r="M137" s="1342" t="str">
        <f t="shared" si="22"/>
        <v xml:space="preserve"> </v>
      </c>
      <c r="N137" s="1342">
        <f t="shared" ref="N137" si="27">IF(I137="Labor",H137," ")</f>
        <v>3842727.31</v>
      </c>
      <c r="P137"/>
    </row>
    <row r="138" spans="3:17">
      <c r="C138" s="1819"/>
      <c r="D138"/>
      <c r="E138" s="778"/>
      <c r="F138"/>
      <c r="G138" s="778"/>
      <c r="H138" s="799"/>
      <c r="I138" s="806"/>
      <c r="J138" s="1326"/>
      <c r="K138" s="1326"/>
      <c r="L138" s="1326"/>
      <c r="M138" s="1342"/>
      <c r="N138" s="1342"/>
      <c r="P138" s="1477"/>
    </row>
    <row r="139" spans="3:17">
      <c r="C139" s="1806">
        <v>2831002</v>
      </c>
      <c r="D139" s="1349" t="s">
        <v>337</v>
      </c>
      <c r="E139" s="777">
        <v>7202</v>
      </c>
      <c r="F139" s="778"/>
      <c r="G139" s="777" t="s">
        <v>1758</v>
      </c>
      <c r="H139" s="779">
        <v>-7318.57</v>
      </c>
      <c r="I139" s="780" t="s">
        <v>291</v>
      </c>
      <c r="J139" s="1342">
        <f t="shared" ref="J139" si="28">IF(I139="e",H139," ")</f>
        <v>-7318.57</v>
      </c>
      <c r="K139" s="1326" t="str">
        <f t="shared" ref="K139" si="29">IF($I139="T",$H139," ")</f>
        <v xml:space="preserve"> </v>
      </c>
      <c r="L139" s="1326" t="str">
        <f t="shared" ref="L139" si="30">IF($I139="PTD",$H139," ")</f>
        <v xml:space="preserve"> </v>
      </c>
      <c r="M139" s="1342" t="str">
        <f t="shared" ref="M139" si="31">IF($I139="T&amp;D",$H139," ")</f>
        <v xml:space="preserve"> </v>
      </c>
      <c r="N139" s="1342" t="str">
        <f t="shared" ref="N139" si="32">IF(I139="Labor",H139," ")</f>
        <v xml:space="preserve"> </v>
      </c>
    </row>
    <row r="140" spans="3:17">
      <c r="D140" s="286"/>
      <c r="H140" s="1326"/>
      <c r="I140" s="1326"/>
      <c r="J140" s="1348" t="str">
        <f>IF(I140="e",H140," ")</f>
        <v xml:space="preserve"> </v>
      </c>
      <c r="K140" s="1348"/>
      <c r="L140" s="1348" t="str">
        <f>IF($I140="PTD",$H140," ")</f>
        <v xml:space="preserve"> </v>
      </c>
      <c r="M140" s="1348" t="str">
        <f>IF($I140="T&amp;D",$H140," ")</f>
        <v xml:space="preserve"> </v>
      </c>
      <c r="N140" s="1348" t="str">
        <f>IF(I140="Labor",H140," ")</f>
        <v xml:space="preserve"> </v>
      </c>
    </row>
    <row r="141" spans="3:17" ht="13">
      <c r="C141" s="33">
        <v>283.10000000000002</v>
      </c>
      <c r="D141" s="286"/>
      <c r="G141" s="561" t="s">
        <v>159</v>
      </c>
      <c r="H141" s="801">
        <f>SUM(H50:H140)</f>
        <v>-86940576.190000013</v>
      </c>
      <c r="I141" s="1326"/>
      <c r="J141" s="801">
        <f>SUM(J50:J140)</f>
        <v>-76913178.000000015</v>
      </c>
      <c r="K141" s="801">
        <f>SUM(K50:K140)</f>
        <v>0</v>
      </c>
      <c r="L141" s="801">
        <f>SUM(L50:L140)</f>
        <v>11184585.719999999</v>
      </c>
      <c r="M141" s="801">
        <f>SUM(M50:M140)</f>
        <v>0</v>
      </c>
      <c r="N141" s="801">
        <f>SUM(N50:N140)</f>
        <v>-21211983.91</v>
      </c>
      <c r="O141" s="782"/>
      <c r="P141" s="1326">
        <f>SUM(J141:O141)</f>
        <v>-86940576.190000013</v>
      </c>
      <c r="Q141" s="1326"/>
    </row>
    <row r="142" spans="3:17" ht="25.5" customHeight="1">
      <c r="C142" s="802"/>
      <c r="D142" s="286"/>
      <c r="G142" s="1346" t="s">
        <v>110</v>
      </c>
      <c r="H142" s="1340">
        <v>-86940576</v>
      </c>
      <c r="I142"/>
      <c r="J142" s="1347"/>
      <c r="K142" s="803"/>
      <c r="L142" s="803"/>
      <c r="M142" s="803"/>
      <c r="N142" s="803"/>
    </row>
    <row r="143" spans="3:17">
      <c r="G143" s="1350"/>
      <c r="H143" s="1348"/>
      <c r="I143" s="1326"/>
      <c r="J143" s="1326"/>
      <c r="K143" s="1326"/>
      <c r="L143" s="1326"/>
      <c r="M143" s="1326"/>
      <c r="N143" s="1326"/>
    </row>
    <row r="144" spans="3:17">
      <c r="H144" s="1348"/>
      <c r="I144" s="1326"/>
      <c r="J144" s="1326"/>
      <c r="K144" s="1326"/>
      <c r="L144" s="1326"/>
      <c r="M144" s="1326"/>
      <c r="N144" s="1326"/>
    </row>
    <row r="145" spans="3:14">
      <c r="C145" s="1806">
        <v>1901001</v>
      </c>
      <c r="D145" s="1351" t="s">
        <v>337</v>
      </c>
      <c r="E145" s="1806">
        <v>3091</v>
      </c>
      <c r="F145" s="778"/>
      <c r="G145" s="777" t="s">
        <v>1761</v>
      </c>
      <c r="H145" s="779">
        <v>31727876.350000001</v>
      </c>
      <c r="I145" s="780" t="s">
        <v>291</v>
      </c>
      <c r="J145" s="1342">
        <f t="shared" ref="J145" si="33">IF(I145="e",H145," ")</f>
        <v>31727876.350000001</v>
      </c>
      <c r="K145" s="1326" t="str">
        <f t="shared" ref="K145:K200" si="34">IF($I145="T",$H145," ")</f>
        <v xml:space="preserve"> </v>
      </c>
      <c r="L145" s="1326" t="str">
        <f t="shared" ref="L145:L200" si="35">IF($I145="PTD",$H145," ")</f>
        <v xml:space="preserve"> </v>
      </c>
      <c r="M145" s="1342" t="str">
        <f t="shared" ref="M145:M200" si="36">IF($I145="T&amp;D",$H145," ")</f>
        <v xml:space="preserve"> </v>
      </c>
      <c r="N145" s="1342" t="str">
        <f t="shared" ref="N145" si="37">IF(I145="Labor",H145," ")</f>
        <v xml:space="preserve"> </v>
      </c>
    </row>
    <row r="146" spans="3:14">
      <c r="C146" s="1806">
        <v>1901001</v>
      </c>
      <c r="D146" s="1351" t="s">
        <v>337</v>
      </c>
      <c r="E146" s="1806">
        <v>3501</v>
      </c>
      <c r="F146" s="778"/>
      <c r="G146" s="777" t="s">
        <v>1755</v>
      </c>
      <c r="H146" s="779">
        <v>0</v>
      </c>
      <c r="I146" s="780" t="s">
        <v>291</v>
      </c>
      <c r="J146" s="1342">
        <f t="shared" ref="J146:J148" si="38">IF(I146="e",H146," ")</f>
        <v>0</v>
      </c>
      <c r="K146" s="1326" t="str">
        <f t="shared" si="34"/>
        <v xml:space="preserve"> </v>
      </c>
      <c r="L146" s="1326" t="str">
        <f t="shared" si="35"/>
        <v xml:space="preserve"> </v>
      </c>
      <c r="M146" s="1342" t="str">
        <f t="shared" si="36"/>
        <v xml:space="preserve"> </v>
      </c>
      <c r="N146" s="1342" t="str">
        <f t="shared" ref="N146:N148" si="39">IF(I146="Labor",H146," ")</f>
        <v xml:space="preserve"> </v>
      </c>
    </row>
    <row r="147" spans="3:14">
      <c r="C147" s="1806">
        <v>1901001</v>
      </c>
      <c r="D147" s="1351"/>
      <c r="E147" s="1806">
        <v>3502</v>
      </c>
      <c r="F147" s="778"/>
      <c r="G147" s="777" t="s">
        <v>1845</v>
      </c>
      <c r="H147" s="779">
        <v>0</v>
      </c>
      <c r="I147" s="780" t="s">
        <v>291</v>
      </c>
      <c r="J147" s="1342">
        <f>H147</f>
        <v>0</v>
      </c>
      <c r="K147" s="1326"/>
      <c r="L147" s="1326"/>
      <c r="M147" s="1342"/>
      <c r="N147" s="1342"/>
    </row>
    <row r="148" spans="3:14">
      <c r="C148" s="1806">
        <v>1901001</v>
      </c>
      <c r="D148" s="1351" t="s">
        <v>337</v>
      </c>
      <c r="E148" s="1806">
        <v>4041</v>
      </c>
      <c r="F148" s="778"/>
      <c r="G148" s="777" t="s">
        <v>1757</v>
      </c>
      <c r="H148" s="779">
        <v>0</v>
      </c>
      <c r="I148" s="780" t="s">
        <v>291</v>
      </c>
      <c r="J148" s="1342">
        <f t="shared" si="38"/>
        <v>0</v>
      </c>
      <c r="K148" s="1326" t="str">
        <f t="shared" si="34"/>
        <v xml:space="preserve"> </v>
      </c>
      <c r="L148" s="1326" t="str">
        <f t="shared" si="35"/>
        <v xml:space="preserve"> </v>
      </c>
      <c r="M148" s="1342" t="str">
        <f t="shared" si="36"/>
        <v xml:space="preserve"> </v>
      </c>
      <c r="N148" s="1342" t="str">
        <f t="shared" si="39"/>
        <v xml:space="preserve"> </v>
      </c>
    </row>
    <row r="149" spans="3:14">
      <c r="C149" s="1806">
        <v>1901001</v>
      </c>
      <c r="D149" s="1351" t="s">
        <v>337</v>
      </c>
      <c r="E149" s="1806">
        <v>7002</v>
      </c>
      <c r="F149" s="778"/>
      <c r="G149" s="777" t="s">
        <v>1759</v>
      </c>
      <c r="H149" s="779">
        <v>1684654.96</v>
      </c>
      <c r="I149" s="780" t="s">
        <v>158</v>
      </c>
      <c r="J149" s="1342" t="str">
        <f t="shared" ref="J149:J193" si="40">IF(I149="e",H149," ")</f>
        <v xml:space="preserve"> </v>
      </c>
      <c r="K149" s="1326" t="str">
        <f t="shared" si="34"/>
        <v xml:space="preserve"> </v>
      </c>
      <c r="L149" s="1326">
        <f t="shared" si="35"/>
        <v>1684654.96</v>
      </c>
      <c r="M149" s="1342" t="str">
        <f t="shared" si="36"/>
        <v xml:space="preserve"> </v>
      </c>
      <c r="N149" s="1342" t="str">
        <f t="shared" ref="N149:N193" si="41">IF(I149="Labor",H149," ")</f>
        <v xml:space="preserve"> </v>
      </c>
    </row>
    <row r="150" spans="3:14">
      <c r="C150" s="1806">
        <v>1901001</v>
      </c>
      <c r="D150" s="1351" t="s">
        <v>337</v>
      </c>
      <c r="E150" s="1806">
        <v>7015</v>
      </c>
      <c r="F150" s="778"/>
      <c r="G150" s="777" t="s">
        <v>1846</v>
      </c>
      <c r="H150" s="779">
        <v>-0.28999999999999998</v>
      </c>
      <c r="I150" s="780" t="s">
        <v>291</v>
      </c>
      <c r="J150" s="1342">
        <f t="shared" si="40"/>
        <v>-0.28999999999999998</v>
      </c>
      <c r="K150" s="1326" t="str">
        <f t="shared" si="34"/>
        <v xml:space="preserve"> </v>
      </c>
      <c r="L150" s="1326" t="str">
        <f t="shared" si="35"/>
        <v xml:space="preserve"> </v>
      </c>
      <c r="M150" s="1342" t="str">
        <f t="shared" si="36"/>
        <v xml:space="preserve"> </v>
      </c>
      <c r="N150" s="1342" t="str">
        <f t="shared" si="41"/>
        <v xml:space="preserve"> </v>
      </c>
    </row>
    <row r="151" spans="3:14">
      <c r="C151" s="1806">
        <v>1901001</v>
      </c>
      <c r="D151" s="1351" t="s">
        <v>337</v>
      </c>
      <c r="E151" s="1806">
        <v>7016</v>
      </c>
      <c r="F151" s="778"/>
      <c r="G151" s="777" t="s">
        <v>1847</v>
      </c>
      <c r="H151" s="779">
        <v>-0.33</v>
      </c>
      <c r="I151" s="780" t="s">
        <v>291</v>
      </c>
      <c r="J151" s="1342">
        <f t="shared" si="40"/>
        <v>-0.33</v>
      </c>
      <c r="K151" s="1326" t="str">
        <f t="shared" si="34"/>
        <v xml:space="preserve"> </v>
      </c>
      <c r="L151" s="1326" t="str">
        <f t="shared" si="35"/>
        <v xml:space="preserve"> </v>
      </c>
      <c r="M151" s="1342" t="str">
        <f t="shared" si="36"/>
        <v xml:space="preserve"> </v>
      </c>
      <c r="N151" s="1342" t="str">
        <f t="shared" si="41"/>
        <v xml:space="preserve"> </v>
      </c>
    </row>
    <row r="152" spans="3:14">
      <c r="C152" s="1806">
        <v>1901001</v>
      </c>
      <c r="D152" s="1351" t="s">
        <v>337</v>
      </c>
      <c r="E152" s="1806">
        <v>7017</v>
      </c>
      <c r="F152" s="778"/>
      <c r="G152" s="777" t="s">
        <v>1848</v>
      </c>
      <c r="H152" s="779">
        <v>-2954717.43</v>
      </c>
      <c r="I152" s="780" t="s">
        <v>291</v>
      </c>
      <c r="J152" s="1342">
        <f t="shared" si="40"/>
        <v>-2954717.43</v>
      </c>
      <c r="K152" s="1326" t="str">
        <f t="shared" si="34"/>
        <v xml:space="preserve"> </v>
      </c>
      <c r="L152" s="1326" t="str">
        <f t="shared" si="35"/>
        <v xml:space="preserve"> </v>
      </c>
      <c r="M152" s="1342" t="str">
        <f t="shared" si="36"/>
        <v xml:space="preserve"> </v>
      </c>
      <c r="N152" s="1342" t="str">
        <f t="shared" si="41"/>
        <v xml:space="preserve"> </v>
      </c>
    </row>
    <row r="153" spans="3:14">
      <c r="C153" s="1806">
        <v>1901001</v>
      </c>
      <c r="D153" s="1351" t="s">
        <v>337</v>
      </c>
      <c r="E153" s="1806">
        <v>7018</v>
      </c>
      <c r="F153" s="778"/>
      <c r="G153" s="777" t="s">
        <v>1849</v>
      </c>
      <c r="H153" s="779">
        <v>-352292.38</v>
      </c>
      <c r="I153" s="780" t="s">
        <v>291</v>
      </c>
      <c r="J153" s="1342">
        <f t="shared" si="40"/>
        <v>-352292.38</v>
      </c>
      <c r="K153" s="1326" t="str">
        <f t="shared" si="34"/>
        <v xml:space="preserve"> </v>
      </c>
      <c r="L153" s="1326" t="str">
        <f t="shared" si="35"/>
        <v xml:space="preserve"> </v>
      </c>
      <c r="M153" s="1342" t="str">
        <f t="shared" si="36"/>
        <v xml:space="preserve"> </v>
      </c>
      <c r="N153" s="1342" t="str">
        <f t="shared" si="41"/>
        <v xml:space="preserve"> </v>
      </c>
    </row>
    <row r="154" spans="3:14">
      <c r="C154" s="1806">
        <v>1901001</v>
      </c>
      <c r="D154" s="1351" t="s">
        <v>337</v>
      </c>
      <c r="E154" s="1806">
        <v>7021</v>
      </c>
      <c r="F154" s="778"/>
      <c r="G154" s="777" t="s">
        <v>1730</v>
      </c>
      <c r="H154" s="779">
        <v>37632219.729999997</v>
      </c>
      <c r="I154" s="780" t="s">
        <v>291</v>
      </c>
      <c r="J154" s="1342">
        <f t="shared" si="40"/>
        <v>37632219.729999997</v>
      </c>
      <c r="K154" s="1326" t="str">
        <f t="shared" si="34"/>
        <v xml:space="preserve"> </v>
      </c>
      <c r="L154" s="1326" t="str">
        <f t="shared" si="35"/>
        <v xml:space="preserve"> </v>
      </c>
      <c r="M154" s="1342" t="str">
        <f t="shared" si="36"/>
        <v xml:space="preserve"> </v>
      </c>
      <c r="N154" s="1342" t="str">
        <f t="shared" si="41"/>
        <v xml:space="preserve"> </v>
      </c>
    </row>
    <row r="155" spans="3:14">
      <c r="C155" s="1806">
        <v>1901001</v>
      </c>
      <c r="D155" s="1351" t="s">
        <v>337</v>
      </c>
      <c r="E155" s="1806">
        <v>7026</v>
      </c>
      <c r="F155" s="778"/>
      <c r="G155" s="777" t="s">
        <v>1699</v>
      </c>
      <c r="H155" s="779">
        <v>7382.13</v>
      </c>
      <c r="I155" s="780" t="s">
        <v>291</v>
      </c>
      <c r="J155" s="1342">
        <f t="shared" ref="J155:J156" si="42">IF(I155="e",H155," ")</f>
        <v>7382.13</v>
      </c>
      <c r="K155" s="1326" t="str">
        <f t="shared" si="34"/>
        <v xml:space="preserve"> </v>
      </c>
      <c r="L155" s="1326" t="str">
        <f t="shared" si="35"/>
        <v xml:space="preserve"> </v>
      </c>
      <c r="M155" s="1342" t="str">
        <f t="shared" si="36"/>
        <v xml:space="preserve"> </v>
      </c>
      <c r="N155" s="1342" t="str">
        <f t="shared" ref="N155:N156" si="43">IF(I155="Labor",H155," ")</f>
        <v xml:space="preserve"> </v>
      </c>
    </row>
    <row r="156" spans="3:14">
      <c r="C156" s="1806">
        <v>1901001</v>
      </c>
      <c r="D156" s="1351"/>
      <c r="E156" s="1806">
        <v>7027</v>
      </c>
      <c r="F156" s="778"/>
      <c r="G156" s="777" t="s">
        <v>1731</v>
      </c>
      <c r="H156" s="779">
        <v>-565966.68000000005</v>
      </c>
      <c r="I156" s="780" t="s">
        <v>300</v>
      </c>
      <c r="J156" s="1342" t="str">
        <f t="shared" si="42"/>
        <v xml:space="preserve"> </v>
      </c>
      <c r="K156" s="1326" t="str">
        <f t="shared" si="34"/>
        <v xml:space="preserve"> </v>
      </c>
      <c r="L156" s="1326" t="str">
        <f t="shared" si="35"/>
        <v xml:space="preserve"> </v>
      </c>
      <c r="M156" s="1342" t="str">
        <f t="shared" si="36"/>
        <v xml:space="preserve"> </v>
      </c>
      <c r="N156" s="1342">
        <f t="shared" si="43"/>
        <v>-565966.68000000005</v>
      </c>
    </row>
    <row r="157" spans="3:14">
      <c r="C157" s="1806">
        <v>1901001</v>
      </c>
      <c r="D157" s="1351" t="s">
        <v>337</v>
      </c>
      <c r="E157" s="1806">
        <v>7029</v>
      </c>
      <c r="F157" s="778"/>
      <c r="G157" s="777" t="s">
        <v>1732</v>
      </c>
      <c r="H157" s="779">
        <v>221055.82</v>
      </c>
      <c r="I157" s="780" t="s">
        <v>300</v>
      </c>
      <c r="J157" s="1342" t="str">
        <f t="shared" si="40"/>
        <v xml:space="preserve"> </v>
      </c>
      <c r="K157" s="1326" t="str">
        <f t="shared" si="34"/>
        <v xml:space="preserve"> </v>
      </c>
      <c r="L157" s="1326" t="str">
        <f t="shared" si="35"/>
        <v xml:space="preserve"> </v>
      </c>
      <c r="M157" s="1342" t="str">
        <f t="shared" si="36"/>
        <v xml:space="preserve"> </v>
      </c>
      <c r="N157" s="1342">
        <f t="shared" si="41"/>
        <v>221055.82</v>
      </c>
    </row>
    <row r="158" spans="3:14">
      <c r="C158" s="1806">
        <v>1901001</v>
      </c>
      <c r="D158" s="1351"/>
      <c r="E158" s="1806">
        <v>7034</v>
      </c>
      <c r="F158" s="778"/>
      <c r="G158" s="777" t="s">
        <v>1733</v>
      </c>
      <c r="H158" s="779">
        <v>87746.04</v>
      </c>
      <c r="I158" s="780" t="s">
        <v>291</v>
      </c>
      <c r="J158" s="1342">
        <f t="shared" si="40"/>
        <v>87746.04</v>
      </c>
      <c r="K158" s="1326" t="str">
        <f t="shared" si="34"/>
        <v xml:space="preserve"> </v>
      </c>
      <c r="L158" s="1326" t="str">
        <f t="shared" si="35"/>
        <v xml:space="preserve"> </v>
      </c>
      <c r="M158" s="1342" t="str">
        <f t="shared" si="36"/>
        <v xml:space="preserve"> </v>
      </c>
      <c r="N158" s="1342" t="str">
        <f t="shared" si="41"/>
        <v xml:space="preserve"> </v>
      </c>
    </row>
    <row r="159" spans="3:14">
      <c r="C159" s="1806">
        <v>1901001</v>
      </c>
      <c r="D159" s="1351" t="s">
        <v>337</v>
      </c>
      <c r="E159" s="1806">
        <v>7035</v>
      </c>
      <c r="F159" s="778"/>
      <c r="G159" s="777" t="s">
        <v>1734</v>
      </c>
      <c r="H159" s="779">
        <v>158883.9</v>
      </c>
      <c r="I159" s="780" t="s">
        <v>291</v>
      </c>
      <c r="J159" s="1342">
        <f t="shared" si="40"/>
        <v>158883.9</v>
      </c>
      <c r="K159" s="1326" t="str">
        <f t="shared" si="34"/>
        <v xml:space="preserve"> </v>
      </c>
      <c r="L159" s="1326" t="str">
        <f t="shared" si="35"/>
        <v xml:space="preserve"> </v>
      </c>
      <c r="M159" s="1342" t="str">
        <f t="shared" si="36"/>
        <v xml:space="preserve"> </v>
      </c>
      <c r="N159" s="1342" t="str">
        <f t="shared" si="41"/>
        <v xml:space="preserve"> </v>
      </c>
    </row>
    <row r="160" spans="3:14">
      <c r="C160" s="1806">
        <v>1901001</v>
      </c>
      <c r="D160" s="1351" t="s">
        <v>337</v>
      </c>
      <c r="E160" s="1806">
        <v>7036</v>
      </c>
      <c r="F160" s="778"/>
      <c r="G160" s="777" t="s">
        <v>1735</v>
      </c>
      <c r="H160" s="779">
        <v>30866.32</v>
      </c>
      <c r="I160" s="780" t="s">
        <v>291</v>
      </c>
      <c r="J160" s="1342">
        <f t="shared" si="40"/>
        <v>30866.32</v>
      </c>
      <c r="K160" s="1326" t="str">
        <f t="shared" si="34"/>
        <v xml:space="preserve"> </v>
      </c>
      <c r="L160" s="1326" t="str">
        <f t="shared" si="35"/>
        <v xml:space="preserve"> </v>
      </c>
      <c r="M160" s="1342" t="str">
        <f t="shared" si="36"/>
        <v xml:space="preserve"> </v>
      </c>
      <c r="N160" s="1342" t="str">
        <f t="shared" si="41"/>
        <v xml:space="preserve"> </v>
      </c>
    </row>
    <row r="161" spans="3:14">
      <c r="C161" s="1806">
        <v>1901001</v>
      </c>
      <c r="D161" s="1351" t="s">
        <v>337</v>
      </c>
      <c r="E161" s="1806">
        <v>7037</v>
      </c>
      <c r="F161" s="778"/>
      <c r="G161" s="777" t="s">
        <v>1850</v>
      </c>
      <c r="H161" s="779">
        <v>0.12</v>
      </c>
      <c r="I161" s="780" t="s">
        <v>291</v>
      </c>
      <c r="J161" s="1342">
        <f t="shared" si="40"/>
        <v>0.12</v>
      </c>
      <c r="K161" s="1326" t="str">
        <f t="shared" si="34"/>
        <v xml:space="preserve"> </v>
      </c>
      <c r="L161" s="1326" t="str">
        <f t="shared" si="35"/>
        <v xml:space="preserve"> </v>
      </c>
      <c r="M161" s="1342" t="str">
        <f t="shared" si="36"/>
        <v xml:space="preserve"> </v>
      </c>
      <c r="N161" s="1342" t="str">
        <f t="shared" si="41"/>
        <v xml:space="preserve"> </v>
      </c>
    </row>
    <row r="162" spans="3:14">
      <c r="C162" s="1806">
        <v>1901001</v>
      </c>
      <c r="D162" s="1351" t="s">
        <v>337</v>
      </c>
      <c r="E162" s="1806">
        <v>7040</v>
      </c>
      <c r="F162" s="778"/>
      <c r="G162" s="777" t="s">
        <v>1737</v>
      </c>
      <c r="H162" s="779">
        <v>704.27</v>
      </c>
      <c r="I162" s="780" t="s">
        <v>291</v>
      </c>
      <c r="J162" s="1342">
        <f t="shared" si="40"/>
        <v>704.27</v>
      </c>
      <c r="K162" s="1326" t="str">
        <f t="shared" si="34"/>
        <v xml:space="preserve"> </v>
      </c>
      <c r="L162" s="1326" t="str">
        <f t="shared" si="35"/>
        <v xml:space="preserve"> </v>
      </c>
      <c r="M162" s="1342" t="str">
        <f t="shared" si="36"/>
        <v xml:space="preserve"> </v>
      </c>
      <c r="N162" s="1342" t="str">
        <f t="shared" si="41"/>
        <v xml:space="preserve"> </v>
      </c>
    </row>
    <row r="163" spans="3:14">
      <c r="C163" s="1806">
        <v>1901001</v>
      </c>
      <c r="D163" s="1351" t="s">
        <v>337</v>
      </c>
      <c r="E163" s="1806">
        <v>7043</v>
      </c>
      <c r="F163" s="778"/>
      <c r="G163" s="777" t="s">
        <v>1851</v>
      </c>
      <c r="H163" s="779">
        <v>10599203.57</v>
      </c>
      <c r="I163" s="780" t="s">
        <v>291</v>
      </c>
      <c r="J163" s="1342">
        <f t="shared" si="40"/>
        <v>10599203.57</v>
      </c>
      <c r="K163" s="1326" t="str">
        <f t="shared" si="34"/>
        <v xml:space="preserve"> </v>
      </c>
      <c r="L163" s="1326" t="str">
        <f t="shared" si="35"/>
        <v xml:space="preserve"> </v>
      </c>
      <c r="M163" s="1342" t="str">
        <f t="shared" si="36"/>
        <v xml:space="preserve"> </v>
      </c>
      <c r="N163" s="1342" t="str">
        <f t="shared" si="41"/>
        <v xml:space="preserve"> </v>
      </c>
    </row>
    <row r="164" spans="3:14">
      <c r="C164" s="1806">
        <v>1901001</v>
      </c>
      <c r="D164" s="1351" t="s">
        <v>337</v>
      </c>
      <c r="E164" s="1806">
        <v>7044</v>
      </c>
      <c r="F164" s="778"/>
      <c r="G164" s="777" t="s">
        <v>1852</v>
      </c>
      <c r="H164" s="779">
        <v>-0.1</v>
      </c>
      <c r="I164" s="780" t="s">
        <v>291</v>
      </c>
      <c r="J164" s="1342">
        <f t="shared" si="40"/>
        <v>-0.1</v>
      </c>
      <c r="K164" s="1326" t="str">
        <f t="shared" si="34"/>
        <v xml:space="preserve"> </v>
      </c>
      <c r="L164" s="1326" t="str">
        <f t="shared" si="35"/>
        <v xml:space="preserve"> </v>
      </c>
      <c r="M164" s="1342" t="str">
        <f t="shared" si="36"/>
        <v xml:space="preserve"> </v>
      </c>
      <c r="N164" s="1342" t="str">
        <f t="shared" si="41"/>
        <v xml:space="preserve"> </v>
      </c>
    </row>
    <row r="165" spans="3:14">
      <c r="C165" s="1806">
        <v>1901001</v>
      </c>
      <c r="D165" s="1351" t="s">
        <v>337</v>
      </c>
      <c r="E165" s="1806">
        <v>7048</v>
      </c>
      <c r="F165" s="778"/>
      <c r="G165" s="777" t="s">
        <v>1738</v>
      </c>
      <c r="H165" s="779">
        <v>1701649.73</v>
      </c>
      <c r="I165" s="780" t="s">
        <v>291</v>
      </c>
      <c r="J165" s="1342">
        <f t="shared" si="40"/>
        <v>1701649.73</v>
      </c>
      <c r="K165" s="1326" t="str">
        <f t="shared" si="34"/>
        <v xml:space="preserve"> </v>
      </c>
      <c r="L165" s="1326" t="str">
        <f t="shared" si="35"/>
        <v xml:space="preserve"> </v>
      </c>
      <c r="M165" s="1342" t="str">
        <f t="shared" si="36"/>
        <v xml:space="preserve"> </v>
      </c>
      <c r="N165" s="1342" t="str">
        <f t="shared" si="41"/>
        <v xml:space="preserve"> </v>
      </c>
    </row>
    <row r="166" spans="3:14">
      <c r="C166" s="1806">
        <v>1901001</v>
      </c>
      <c r="D166" s="1351" t="s">
        <v>337</v>
      </c>
      <c r="E166" s="1806">
        <v>7051</v>
      </c>
      <c r="F166" s="778"/>
      <c r="G166" s="777" t="s">
        <v>1853</v>
      </c>
      <c r="H166" s="779">
        <v>0.02</v>
      </c>
      <c r="I166" s="780" t="s">
        <v>158</v>
      </c>
      <c r="J166" s="1342" t="str">
        <f t="shared" si="40"/>
        <v xml:space="preserve"> </v>
      </c>
      <c r="K166" s="1326" t="str">
        <f t="shared" si="34"/>
        <v xml:space="preserve"> </v>
      </c>
      <c r="L166" s="1326">
        <f t="shared" si="35"/>
        <v>0.02</v>
      </c>
      <c r="M166" s="1342" t="str">
        <f t="shared" si="36"/>
        <v xml:space="preserve"> </v>
      </c>
      <c r="N166" s="1342" t="str">
        <f t="shared" si="41"/>
        <v xml:space="preserve"> </v>
      </c>
    </row>
    <row r="167" spans="3:14">
      <c r="C167" s="1806">
        <v>1901001</v>
      </c>
      <c r="D167" s="1351" t="s">
        <v>337</v>
      </c>
      <c r="E167" s="1806">
        <v>7052</v>
      </c>
      <c r="F167" s="778"/>
      <c r="G167" s="777" t="s">
        <v>1739</v>
      </c>
      <c r="H167" s="779">
        <v>2292521.61</v>
      </c>
      <c r="I167" s="780" t="s">
        <v>291</v>
      </c>
      <c r="J167" s="1342">
        <f t="shared" si="40"/>
        <v>2292521.61</v>
      </c>
      <c r="K167" s="1326" t="str">
        <f t="shared" si="34"/>
        <v xml:space="preserve"> </v>
      </c>
      <c r="L167" s="1326" t="str">
        <f t="shared" si="35"/>
        <v xml:space="preserve"> </v>
      </c>
      <c r="M167" s="1342" t="str">
        <f t="shared" si="36"/>
        <v xml:space="preserve"> </v>
      </c>
      <c r="N167" s="1342" t="str">
        <f t="shared" si="41"/>
        <v xml:space="preserve"> </v>
      </c>
    </row>
    <row r="168" spans="3:14">
      <c r="C168" s="1806">
        <v>1901001</v>
      </c>
      <c r="D168" s="1351" t="s">
        <v>337</v>
      </c>
      <c r="E168" s="1806">
        <v>7053</v>
      </c>
      <c r="F168" s="778"/>
      <c r="G168" s="777" t="s">
        <v>1740</v>
      </c>
      <c r="H168" s="779">
        <v>73499.91</v>
      </c>
      <c r="I168" s="780" t="s">
        <v>291</v>
      </c>
      <c r="J168" s="1342">
        <f t="shared" si="40"/>
        <v>73499.91</v>
      </c>
      <c r="K168" s="1326" t="str">
        <f t="shared" si="34"/>
        <v xml:space="preserve"> </v>
      </c>
      <c r="L168" s="1326" t="str">
        <f t="shared" si="35"/>
        <v xml:space="preserve"> </v>
      </c>
      <c r="M168" s="1342" t="str">
        <f t="shared" si="36"/>
        <v xml:space="preserve"> </v>
      </c>
      <c r="N168" s="1342" t="str">
        <f t="shared" si="41"/>
        <v xml:space="preserve"> </v>
      </c>
    </row>
    <row r="169" spans="3:14">
      <c r="C169" s="1806">
        <v>1901001</v>
      </c>
      <c r="D169" s="1351" t="s">
        <v>337</v>
      </c>
      <c r="E169" s="1806">
        <v>7055</v>
      </c>
      <c r="F169" s="778"/>
      <c r="G169" s="777" t="s">
        <v>1742</v>
      </c>
      <c r="H169" s="779">
        <v>35708.699999999997</v>
      </c>
      <c r="I169" s="780" t="s">
        <v>291</v>
      </c>
      <c r="J169" s="1342">
        <f t="shared" si="40"/>
        <v>35708.699999999997</v>
      </c>
      <c r="K169" s="1326" t="str">
        <f t="shared" si="34"/>
        <v xml:space="preserve"> </v>
      </c>
      <c r="L169" s="1326" t="str">
        <f t="shared" si="35"/>
        <v xml:space="preserve"> </v>
      </c>
      <c r="M169" s="1342" t="str">
        <f t="shared" si="36"/>
        <v xml:space="preserve"> </v>
      </c>
      <c r="N169" s="1342" t="str">
        <f t="shared" si="41"/>
        <v xml:space="preserve"> </v>
      </c>
    </row>
    <row r="170" spans="3:14">
      <c r="C170" s="1806">
        <v>1901001</v>
      </c>
      <c r="D170" s="1351" t="s">
        <v>337</v>
      </c>
      <c r="E170" s="1806">
        <v>7059</v>
      </c>
      <c r="F170" s="778"/>
      <c r="G170" s="777" t="s">
        <v>1854</v>
      </c>
      <c r="H170" s="779">
        <v>4261.74</v>
      </c>
      <c r="I170" s="780" t="s">
        <v>291</v>
      </c>
      <c r="J170" s="1342">
        <f t="shared" si="40"/>
        <v>4261.74</v>
      </c>
      <c r="K170" s="1326" t="str">
        <f t="shared" si="34"/>
        <v xml:space="preserve"> </v>
      </c>
      <c r="L170" s="1326" t="str">
        <f t="shared" si="35"/>
        <v xml:space="preserve"> </v>
      </c>
      <c r="M170" s="1342" t="str">
        <f t="shared" si="36"/>
        <v xml:space="preserve"> </v>
      </c>
      <c r="N170" s="1342" t="str">
        <f t="shared" si="41"/>
        <v xml:space="preserve"> </v>
      </c>
    </row>
    <row r="171" spans="3:14">
      <c r="C171" s="1806">
        <v>1901001</v>
      </c>
      <c r="D171" s="1351" t="s">
        <v>337</v>
      </c>
      <c r="E171" s="1806">
        <v>7061</v>
      </c>
      <c r="F171" s="778"/>
      <c r="G171" s="777" t="s">
        <v>1760</v>
      </c>
      <c r="H171" s="779">
        <v>119950.34</v>
      </c>
      <c r="I171" s="780" t="s">
        <v>291</v>
      </c>
      <c r="J171" s="1342">
        <f t="shared" si="40"/>
        <v>119950.34</v>
      </c>
      <c r="K171" s="1326" t="str">
        <f t="shared" si="34"/>
        <v xml:space="preserve"> </v>
      </c>
      <c r="L171" s="1326" t="str">
        <f t="shared" si="35"/>
        <v xml:space="preserve"> </v>
      </c>
      <c r="M171" s="1342" t="str">
        <f t="shared" si="36"/>
        <v xml:space="preserve"> </v>
      </c>
      <c r="N171" s="1342" t="str">
        <f t="shared" si="41"/>
        <v xml:space="preserve"> </v>
      </c>
    </row>
    <row r="172" spans="3:14">
      <c r="C172" s="1806">
        <v>1901001</v>
      </c>
      <c r="D172" s="1351" t="s">
        <v>337</v>
      </c>
      <c r="E172" s="1806">
        <v>7064</v>
      </c>
      <c r="F172" s="778"/>
      <c r="G172" s="777" t="s">
        <v>1855</v>
      </c>
      <c r="H172" s="779">
        <v>0.12</v>
      </c>
      <c r="I172" s="780" t="s">
        <v>158</v>
      </c>
      <c r="J172" s="1342" t="str">
        <f t="shared" si="40"/>
        <v xml:space="preserve"> </v>
      </c>
      <c r="K172" s="1326" t="str">
        <f t="shared" si="34"/>
        <v xml:space="preserve"> </v>
      </c>
      <c r="L172" s="1326">
        <f t="shared" si="35"/>
        <v>0.12</v>
      </c>
      <c r="M172" s="1342" t="str">
        <f t="shared" si="36"/>
        <v xml:space="preserve"> </v>
      </c>
      <c r="N172" s="1342" t="str">
        <f t="shared" si="41"/>
        <v xml:space="preserve"> </v>
      </c>
    </row>
    <row r="173" spans="3:14">
      <c r="C173" s="1806">
        <v>1901001</v>
      </c>
      <c r="D173" s="1351" t="s">
        <v>337</v>
      </c>
      <c r="E173" s="1806">
        <v>7065</v>
      </c>
      <c r="F173" s="778"/>
      <c r="G173" s="777" t="s">
        <v>1856</v>
      </c>
      <c r="H173" s="779">
        <v>0.9</v>
      </c>
      <c r="I173" s="780" t="s">
        <v>291</v>
      </c>
      <c r="J173" s="1342">
        <f t="shared" si="40"/>
        <v>0.9</v>
      </c>
      <c r="K173" s="1326" t="str">
        <f t="shared" si="34"/>
        <v xml:space="preserve"> </v>
      </c>
      <c r="L173" s="1326" t="str">
        <f t="shared" si="35"/>
        <v xml:space="preserve"> </v>
      </c>
      <c r="M173" s="1342" t="str">
        <f t="shared" si="36"/>
        <v xml:space="preserve"> </v>
      </c>
      <c r="N173" s="1342" t="str">
        <f t="shared" si="41"/>
        <v xml:space="preserve"> </v>
      </c>
    </row>
    <row r="174" spans="3:14">
      <c r="C174" s="1806">
        <v>1901001</v>
      </c>
      <c r="D174" s="1351" t="s">
        <v>337</v>
      </c>
      <c r="E174" s="1806">
        <v>7067</v>
      </c>
      <c r="F174" s="778"/>
      <c r="G174" s="777" t="s">
        <v>1857</v>
      </c>
      <c r="H174" s="779">
        <v>-0.11</v>
      </c>
      <c r="I174" s="780" t="s">
        <v>291</v>
      </c>
      <c r="J174" s="1342">
        <f t="shared" si="40"/>
        <v>-0.11</v>
      </c>
      <c r="K174" s="1326" t="str">
        <f t="shared" si="34"/>
        <v xml:space="preserve"> </v>
      </c>
      <c r="L174" s="1326" t="str">
        <f t="shared" si="35"/>
        <v xml:space="preserve"> </v>
      </c>
      <c r="M174" s="1342" t="str">
        <f t="shared" si="36"/>
        <v xml:space="preserve"> </v>
      </c>
      <c r="N174" s="1342" t="str">
        <f t="shared" si="41"/>
        <v xml:space="preserve"> </v>
      </c>
    </row>
    <row r="175" spans="3:14">
      <c r="C175" s="1806">
        <v>1901001</v>
      </c>
      <c r="D175" s="1351" t="s">
        <v>337</v>
      </c>
      <c r="E175" s="1806">
        <v>7083</v>
      </c>
      <c r="F175" s="778"/>
      <c r="G175" s="777" t="s">
        <v>1743</v>
      </c>
      <c r="H175" s="779">
        <v>0</v>
      </c>
      <c r="I175" s="780" t="s">
        <v>158</v>
      </c>
      <c r="J175" s="1342" t="str">
        <f t="shared" si="40"/>
        <v xml:space="preserve"> </v>
      </c>
      <c r="K175" s="1326" t="str">
        <f t="shared" si="34"/>
        <v xml:space="preserve"> </v>
      </c>
      <c r="L175" s="1326">
        <f t="shared" si="35"/>
        <v>0</v>
      </c>
      <c r="M175" s="1342" t="str">
        <f t="shared" si="36"/>
        <v xml:space="preserve"> </v>
      </c>
      <c r="N175" s="1342" t="str">
        <f t="shared" si="41"/>
        <v xml:space="preserve"> </v>
      </c>
    </row>
    <row r="176" spans="3:14">
      <c r="C176" s="1806">
        <v>1901001</v>
      </c>
      <c r="D176" s="1351" t="s">
        <v>337</v>
      </c>
      <c r="E176" s="1806">
        <v>7085</v>
      </c>
      <c r="F176" s="778"/>
      <c r="G176" s="777" t="s">
        <v>1702</v>
      </c>
      <c r="H176" s="779">
        <v>-3.15</v>
      </c>
      <c r="I176" s="780" t="s">
        <v>158</v>
      </c>
      <c r="J176" s="1342" t="str">
        <f t="shared" si="40"/>
        <v xml:space="preserve"> </v>
      </c>
      <c r="K176" s="1326" t="str">
        <f t="shared" si="34"/>
        <v xml:space="preserve"> </v>
      </c>
      <c r="L176" s="1326">
        <f t="shared" si="35"/>
        <v>-3.15</v>
      </c>
      <c r="M176" s="1342" t="str">
        <f t="shared" si="36"/>
        <v xml:space="preserve"> </v>
      </c>
      <c r="N176" s="1342" t="str">
        <f t="shared" si="41"/>
        <v xml:space="preserve"> </v>
      </c>
    </row>
    <row r="177" spans="3:14">
      <c r="C177" s="1806">
        <v>1901001</v>
      </c>
      <c r="D177" s="1351" t="s">
        <v>337</v>
      </c>
      <c r="E177" s="1806">
        <v>7104</v>
      </c>
      <c r="F177" s="778"/>
      <c r="G177" s="777" t="s">
        <v>1744</v>
      </c>
      <c r="H177" s="779">
        <v>340165.63</v>
      </c>
      <c r="I177" s="780" t="s">
        <v>291</v>
      </c>
      <c r="J177" s="1342">
        <f t="shared" si="40"/>
        <v>340165.63</v>
      </c>
      <c r="K177" s="1326" t="str">
        <f t="shared" si="34"/>
        <v xml:space="preserve"> </v>
      </c>
      <c r="L177" s="1326" t="str">
        <f t="shared" si="35"/>
        <v xml:space="preserve"> </v>
      </c>
      <c r="M177" s="1342" t="str">
        <f t="shared" si="36"/>
        <v xml:space="preserve"> </v>
      </c>
      <c r="N177" s="1342" t="str">
        <f t="shared" si="41"/>
        <v xml:space="preserve"> </v>
      </c>
    </row>
    <row r="178" spans="3:14">
      <c r="C178" s="1806">
        <v>1901001</v>
      </c>
      <c r="D178" s="1351"/>
      <c r="E178" s="1806">
        <v>7105</v>
      </c>
      <c r="F178" s="778"/>
      <c r="G178" s="777" t="s">
        <v>1858</v>
      </c>
      <c r="H178" s="779">
        <v>-48464.639999999999</v>
      </c>
      <c r="I178" s="780" t="s">
        <v>291</v>
      </c>
      <c r="J178" s="1342">
        <f t="shared" si="40"/>
        <v>-48464.639999999999</v>
      </c>
      <c r="K178" s="1326" t="str">
        <f t="shared" si="34"/>
        <v xml:space="preserve"> </v>
      </c>
      <c r="L178" s="1326" t="str">
        <f t="shared" si="35"/>
        <v xml:space="preserve"> </v>
      </c>
      <c r="M178" s="1342" t="str">
        <f t="shared" si="36"/>
        <v xml:space="preserve"> </v>
      </c>
      <c r="N178" s="1342" t="str">
        <f t="shared" si="41"/>
        <v xml:space="preserve"> </v>
      </c>
    </row>
    <row r="179" spans="3:14">
      <c r="C179" s="1806">
        <v>1901001</v>
      </c>
      <c r="D179" s="1351"/>
      <c r="E179" s="1806">
        <v>7110</v>
      </c>
      <c r="F179" s="778"/>
      <c r="G179" s="777" t="s">
        <v>1745</v>
      </c>
      <c r="H179" s="779">
        <v>-226064.31</v>
      </c>
      <c r="I179" s="780" t="s">
        <v>291</v>
      </c>
      <c r="J179" s="1342">
        <f t="shared" si="40"/>
        <v>-226064.31</v>
      </c>
      <c r="K179" s="1326" t="str">
        <f t="shared" si="34"/>
        <v xml:space="preserve"> </v>
      </c>
      <c r="L179" s="1326" t="str">
        <f t="shared" si="35"/>
        <v xml:space="preserve"> </v>
      </c>
      <c r="M179" s="1342" t="str">
        <f t="shared" si="36"/>
        <v xml:space="preserve"> </v>
      </c>
      <c r="N179" s="1342" t="str">
        <f t="shared" si="41"/>
        <v xml:space="preserve"> </v>
      </c>
    </row>
    <row r="180" spans="3:14">
      <c r="C180" s="1806">
        <v>1901001</v>
      </c>
      <c r="D180" s="1351"/>
      <c r="E180" s="1806">
        <v>7202</v>
      </c>
      <c r="F180" s="778"/>
      <c r="G180" s="777" t="s">
        <v>1758</v>
      </c>
      <c r="H180" s="779">
        <v>14366.5</v>
      </c>
      <c r="I180" s="780" t="s">
        <v>291</v>
      </c>
      <c r="J180" s="1342">
        <f t="shared" si="40"/>
        <v>14366.5</v>
      </c>
      <c r="K180" s="1326" t="str">
        <f t="shared" si="34"/>
        <v xml:space="preserve"> </v>
      </c>
      <c r="L180" s="1326" t="str">
        <f t="shared" si="35"/>
        <v xml:space="preserve"> </v>
      </c>
      <c r="M180" s="1342" t="str">
        <f t="shared" si="36"/>
        <v xml:space="preserve"> </v>
      </c>
      <c r="N180" s="1342" t="str">
        <f t="shared" si="41"/>
        <v xml:space="preserve"> </v>
      </c>
    </row>
    <row r="181" spans="3:14">
      <c r="C181" s="1806">
        <v>1901001</v>
      </c>
      <c r="D181" s="1351"/>
      <c r="E181" s="1806">
        <v>7463</v>
      </c>
      <c r="F181" s="778"/>
      <c r="G181" s="777" t="s">
        <v>1746</v>
      </c>
      <c r="H181" s="779">
        <v>-0.08</v>
      </c>
      <c r="I181" s="780" t="s">
        <v>291</v>
      </c>
      <c r="J181" s="1342">
        <f t="shared" si="40"/>
        <v>-0.08</v>
      </c>
      <c r="K181" s="1326" t="str">
        <f t="shared" si="34"/>
        <v xml:space="preserve"> </v>
      </c>
      <c r="L181" s="1326" t="str">
        <f t="shared" si="35"/>
        <v xml:space="preserve"> </v>
      </c>
      <c r="M181" s="1342" t="str">
        <f t="shared" si="36"/>
        <v xml:space="preserve"> </v>
      </c>
      <c r="N181" s="1342" t="str">
        <f t="shared" si="41"/>
        <v xml:space="preserve"> </v>
      </c>
    </row>
    <row r="182" spans="3:14">
      <c r="C182" s="1806">
        <v>1901001</v>
      </c>
      <c r="D182" s="1351"/>
      <c r="E182" s="1806">
        <v>7566</v>
      </c>
      <c r="F182" s="778"/>
      <c r="G182" s="777" t="s">
        <v>1859</v>
      </c>
      <c r="H182" s="779">
        <v>1271788.98</v>
      </c>
      <c r="I182" s="780" t="s">
        <v>291</v>
      </c>
      <c r="J182" s="1342">
        <f t="shared" ref="J182" si="44">IF(I182="e",H182," ")</f>
        <v>1271788.98</v>
      </c>
      <c r="K182" s="1326" t="str">
        <f t="shared" si="34"/>
        <v xml:space="preserve"> </v>
      </c>
      <c r="L182" s="1326" t="str">
        <f t="shared" si="35"/>
        <v xml:space="preserve"> </v>
      </c>
      <c r="M182" s="1342" t="str">
        <f t="shared" si="36"/>
        <v xml:space="preserve"> </v>
      </c>
      <c r="N182" s="1342" t="str">
        <f t="shared" ref="N182" si="45">IF(I182="Labor",H182," ")</f>
        <v xml:space="preserve"> </v>
      </c>
    </row>
    <row r="183" spans="3:14">
      <c r="C183" s="1806">
        <v>1901001</v>
      </c>
      <c r="D183" s="1351"/>
      <c r="E183" s="1806">
        <v>7577</v>
      </c>
      <c r="F183" s="778"/>
      <c r="G183" s="777" t="s">
        <v>1747</v>
      </c>
      <c r="H183" s="779">
        <v>97733.16</v>
      </c>
      <c r="I183" s="780" t="s">
        <v>291</v>
      </c>
      <c r="J183" s="1342">
        <f t="shared" si="40"/>
        <v>97733.16</v>
      </c>
      <c r="K183" s="1326" t="str">
        <f t="shared" si="34"/>
        <v xml:space="preserve"> </v>
      </c>
      <c r="L183" s="1326" t="str">
        <f t="shared" si="35"/>
        <v xml:space="preserve"> </v>
      </c>
      <c r="M183" s="1342" t="str">
        <f t="shared" si="36"/>
        <v xml:space="preserve"> </v>
      </c>
      <c r="N183" s="1342" t="str">
        <f t="shared" si="41"/>
        <v xml:space="preserve"> </v>
      </c>
    </row>
    <row r="184" spans="3:14">
      <c r="C184" s="1806">
        <v>1901001</v>
      </c>
      <c r="D184" s="1351"/>
      <c r="E184" s="1806">
        <v>7581</v>
      </c>
      <c r="F184" s="778"/>
      <c r="G184" s="777" t="s">
        <v>1749</v>
      </c>
      <c r="H184" s="779">
        <v>38457055.07</v>
      </c>
      <c r="I184" s="780" t="s">
        <v>291</v>
      </c>
      <c r="J184" s="1342">
        <f t="shared" si="40"/>
        <v>38457055.07</v>
      </c>
      <c r="K184" s="1326" t="str">
        <f t="shared" si="34"/>
        <v xml:space="preserve"> </v>
      </c>
      <c r="L184" s="1326" t="str">
        <f t="shared" si="35"/>
        <v xml:space="preserve"> </v>
      </c>
      <c r="M184" s="1342" t="str">
        <f t="shared" si="36"/>
        <v xml:space="preserve"> </v>
      </c>
      <c r="N184" s="1342" t="str">
        <f t="shared" si="41"/>
        <v xml:space="preserve"> </v>
      </c>
    </row>
    <row r="185" spans="3:14">
      <c r="C185" s="1806">
        <v>1901001</v>
      </c>
      <c r="D185" s="1351"/>
      <c r="E185" s="1806">
        <v>7584</v>
      </c>
      <c r="F185" s="778"/>
      <c r="G185" s="777" t="s">
        <v>1750</v>
      </c>
      <c r="H185" s="779">
        <v>30540097.59</v>
      </c>
      <c r="I185" s="780" t="s">
        <v>291</v>
      </c>
      <c r="J185" s="1342">
        <f t="shared" si="40"/>
        <v>30540097.59</v>
      </c>
      <c r="K185" s="1326" t="str">
        <f t="shared" si="34"/>
        <v xml:space="preserve"> </v>
      </c>
      <c r="L185" s="1326" t="str">
        <f t="shared" si="35"/>
        <v xml:space="preserve"> </v>
      </c>
      <c r="M185" s="1342" t="str">
        <f t="shared" si="36"/>
        <v xml:space="preserve"> </v>
      </c>
      <c r="N185" s="1342" t="str">
        <f t="shared" si="41"/>
        <v xml:space="preserve"> </v>
      </c>
    </row>
    <row r="186" spans="3:14">
      <c r="C186" s="1806">
        <v>1901001</v>
      </c>
      <c r="D186" s="1351"/>
      <c r="E186" s="1806">
        <v>8007</v>
      </c>
      <c r="F186" s="778"/>
      <c r="G186" s="777" t="s">
        <v>1860</v>
      </c>
      <c r="H186" s="779">
        <v>-69410125.260000005</v>
      </c>
      <c r="I186" s="780" t="s">
        <v>291</v>
      </c>
      <c r="J186" s="1342">
        <f>H186</f>
        <v>-69410125.260000005</v>
      </c>
      <c r="K186" s="1326"/>
      <c r="L186" s="1326"/>
      <c r="M186" s="1342"/>
      <c r="N186" s="1342"/>
    </row>
    <row r="187" spans="3:14">
      <c r="C187" s="1806">
        <v>1901001</v>
      </c>
      <c r="D187" s="1351"/>
      <c r="E187" s="1806">
        <v>8016</v>
      </c>
      <c r="F187" s="778"/>
      <c r="G187" s="777" t="s">
        <v>1751</v>
      </c>
      <c r="H187" s="779">
        <v>275857.7</v>
      </c>
      <c r="I187" s="780" t="s">
        <v>300</v>
      </c>
      <c r="J187" s="1342" t="str">
        <f t="shared" si="40"/>
        <v xml:space="preserve"> </v>
      </c>
      <c r="K187" s="1326" t="str">
        <f t="shared" si="34"/>
        <v xml:space="preserve"> </v>
      </c>
      <c r="L187" s="1326" t="str">
        <f t="shared" si="35"/>
        <v xml:space="preserve"> </v>
      </c>
      <c r="M187" s="1342" t="str">
        <f t="shared" si="36"/>
        <v xml:space="preserve"> </v>
      </c>
      <c r="N187" s="1342">
        <f t="shared" si="41"/>
        <v>275857.7</v>
      </c>
    </row>
    <row r="188" spans="3:14">
      <c r="C188" s="1806">
        <v>1901001</v>
      </c>
      <c r="D188" s="1351"/>
      <c r="E188" s="1806">
        <v>8017</v>
      </c>
      <c r="F188" s="778"/>
      <c r="G188" s="777" t="s">
        <v>1861</v>
      </c>
      <c r="H188" s="779">
        <v>-0.21</v>
      </c>
      <c r="I188" s="780" t="s">
        <v>291</v>
      </c>
      <c r="J188" s="1342">
        <f t="shared" si="40"/>
        <v>-0.21</v>
      </c>
      <c r="K188" s="1326" t="str">
        <f t="shared" si="34"/>
        <v xml:space="preserve"> </v>
      </c>
      <c r="L188" s="1326" t="str">
        <f t="shared" si="35"/>
        <v xml:space="preserve"> </v>
      </c>
      <c r="M188" s="1342" t="str">
        <f t="shared" si="36"/>
        <v xml:space="preserve"> </v>
      </c>
      <c r="N188" s="1342" t="str">
        <f t="shared" si="41"/>
        <v xml:space="preserve"> </v>
      </c>
    </row>
    <row r="189" spans="3:14">
      <c r="C189" s="1806">
        <v>1901001</v>
      </c>
      <c r="D189" s="1351"/>
      <c r="E189" s="1806">
        <v>8018</v>
      </c>
      <c r="F189" s="778"/>
      <c r="G189" s="777" t="s">
        <v>1752</v>
      </c>
      <c r="H189" s="779">
        <v>-2410.17</v>
      </c>
      <c r="I189" s="780" t="s">
        <v>291</v>
      </c>
      <c r="J189" s="1342">
        <f t="shared" si="40"/>
        <v>-2410.17</v>
      </c>
      <c r="K189" s="1326" t="str">
        <f t="shared" si="34"/>
        <v xml:space="preserve"> </v>
      </c>
      <c r="L189" s="1326" t="str">
        <f t="shared" si="35"/>
        <v xml:space="preserve"> </v>
      </c>
      <c r="M189" s="1342" t="str">
        <f t="shared" si="36"/>
        <v xml:space="preserve"> </v>
      </c>
      <c r="N189" s="1342" t="str">
        <f t="shared" si="41"/>
        <v xml:space="preserve"> </v>
      </c>
    </row>
    <row r="190" spans="3:14">
      <c r="C190" s="1806">
        <v>1901001</v>
      </c>
      <c r="D190" s="1351"/>
      <c r="E190" s="1806">
        <v>8022</v>
      </c>
      <c r="F190" s="778"/>
      <c r="G190" s="777" t="s">
        <v>1753</v>
      </c>
      <c r="H190" s="779">
        <v>-492939.09</v>
      </c>
      <c r="I190" s="780" t="s">
        <v>291</v>
      </c>
      <c r="J190" s="1342">
        <f t="shared" si="40"/>
        <v>-492939.09</v>
      </c>
      <c r="K190" s="1326" t="str">
        <f t="shared" si="34"/>
        <v xml:space="preserve"> </v>
      </c>
      <c r="L190" s="1326" t="str">
        <f t="shared" si="35"/>
        <v xml:space="preserve"> </v>
      </c>
      <c r="M190" s="1342" t="str">
        <f t="shared" si="36"/>
        <v xml:space="preserve"> </v>
      </c>
      <c r="N190" s="1342" t="str">
        <f t="shared" si="41"/>
        <v xml:space="preserve"> </v>
      </c>
    </row>
    <row r="191" spans="3:14">
      <c r="C191" s="1806">
        <v>1901001</v>
      </c>
      <c r="D191" s="1351"/>
      <c r="E191" s="1806">
        <v>8023</v>
      </c>
      <c r="F191" s="778"/>
      <c r="G191" s="777" t="s">
        <v>1726</v>
      </c>
      <c r="H191" s="779">
        <v>-34180.86</v>
      </c>
      <c r="I191" s="780" t="s">
        <v>291</v>
      </c>
      <c r="J191" s="1342">
        <f t="shared" si="40"/>
        <v>-34180.86</v>
      </c>
      <c r="K191" s="1326" t="str">
        <f t="shared" si="34"/>
        <v xml:space="preserve"> </v>
      </c>
      <c r="L191" s="1326" t="str">
        <f t="shared" si="35"/>
        <v xml:space="preserve"> </v>
      </c>
      <c r="M191" s="1342" t="str">
        <f t="shared" si="36"/>
        <v xml:space="preserve"> </v>
      </c>
      <c r="N191" s="1342" t="str">
        <f t="shared" si="41"/>
        <v xml:space="preserve"> </v>
      </c>
    </row>
    <row r="192" spans="3:14">
      <c r="C192" s="1806">
        <v>1901001</v>
      </c>
      <c r="D192" s="1351"/>
      <c r="E192" s="1806">
        <v>8031</v>
      </c>
      <c r="F192" s="778"/>
      <c r="G192" s="777" t="s">
        <v>1862</v>
      </c>
      <c r="H192" s="779">
        <v>-1123415.95</v>
      </c>
      <c r="I192" s="780" t="s">
        <v>291</v>
      </c>
      <c r="J192" s="1342">
        <f t="shared" si="40"/>
        <v>-1123415.95</v>
      </c>
      <c r="K192" s="1326" t="str">
        <f t="shared" si="34"/>
        <v xml:space="preserve"> </v>
      </c>
      <c r="L192" s="1326" t="str">
        <f t="shared" si="35"/>
        <v xml:space="preserve"> </v>
      </c>
      <c r="M192" s="1342" t="str">
        <f t="shared" si="36"/>
        <v xml:space="preserve"> </v>
      </c>
      <c r="N192" s="1342" t="str">
        <f t="shared" si="41"/>
        <v xml:space="preserve"> </v>
      </c>
    </row>
    <row r="193" spans="3:17">
      <c r="C193" s="1806">
        <v>1901001</v>
      </c>
      <c r="D193" s="1351"/>
      <c r="E193" s="1806">
        <v>8062</v>
      </c>
      <c r="F193" s="778"/>
      <c r="G193" s="777" t="s">
        <v>1754</v>
      </c>
      <c r="H193" s="779">
        <v>52823.95</v>
      </c>
      <c r="I193" s="780" t="s">
        <v>300</v>
      </c>
      <c r="J193" s="1342" t="str">
        <f t="shared" si="40"/>
        <v xml:space="preserve"> </v>
      </c>
      <c r="K193" s="1326" t="str">
        <f t="shared" si="34"/>
        <v xml:space="preserve"> </v>
      </c>
      <c r="L193" s="1326" t="str">
        <f t="shared" si="35"/>
        <v xml:space="preserve"> </v>
      </c>
      <c r="M193" s="1342" t="str">
        <f t="shared" si="36"/>
        <v xml:space="preserve"> </v>
      </c>
      <c r="N193" s="1342">
        <f t="shared" si="41"/>
        <v>52823.95</v>
      </c>
    </row>
    <row r="194" spans="3:17">
      <c r="C194" s="1806">
        <v>1901001</v>
      </c>
      <c r="D194" s="1351"/>
      <c r="E194" s="1806" t="s">
        <v>1277</v>
      </c>
      <c r="F194" s="778"/>
      <c r="G194" s="777" t="s">
        <v>1285</v>
      </c>
      <c r="H194" s="779">
        <v>364671127.99109995</v>
      </c>
      <c r="I194" s="780" t="s">
        <v>158</v>
      </c>
      <c r="J194" s="1342" t="str">
        <f t="shared" ref="J194" si="46">IF(I194="e",H194," ")</f>
        <v xml:space="preserve"> </v>
      </c>
      <c r="K194" s="1326" t="str">
        <f t="shared" si="34"/>
        <v xml:space="preserve"> </v>
      </c>
      <c r="L194" s="779">
        <f t="shared" si="35"/>
        <v>364671127.99109995</v>
      </c>
      <c r="M194" s="1342" t="str">
        <f t="shared" si="36"/>
        <v xml:space="preserve"> </v>
      </c>
      <c r="N194" s="1342" t="str">
        <f t="shared" ref="N194" si="47">IF(I194="Labor",H194," ")</f>
        <v xml:space="preserve"> </v>
      </c>
      <c r="O194"/>
      <c r="P194"/>
    </row>
    <row r="195" spans="3:17">
      <c r="C195" s="1806">
        <v>1901001</v>
      </c>
      <c r="D195" s="1351"/>
      <c r="E195" s="1806" t="s">
        <v>1277</v>
      </c>
      <c r="F195" s="778"/>
      <c r="G195" s="777" t="s">
        <v>1285</v>
      </c>
      <c r="H195" s="779">
        <f>-H194</f>
        <v>-364671127.99109995</v>
      </c>
      <c r="I195" s="780" t="s">
        <v>291</v>
      </c>
      <c r="J195" s="779">
        <f t="shared" ref="J195" si="48">IF(I195="e",H195," ")</f>
        <v>-364671127.99109995</v>
      </c>
      <c r="K195" s="1326" t="str">
        <f t="shared" si="34"/>
        <v xml:space="preserve"> </v>
      </c>
      <c r="L195" s="1326" t="str">
        <f t="shared" si="35"/>
        <v xml:space="preserve"> </v>
      </c>
      <c r="M195" s="1342" t="str">
        <f t="shared" si="36"/>
        <v xml:space="preserve"> </v>
      </c>
      <c r="N195" s="1342" t="str">
        <f t="shared" ref="N195" si="49">IF(I195="Labor",H195," ")</f>
        <v xml:space="preserve"> </v>
      </c>
      <c r="O195"/>
      <c r="P195"/>
    </row>
    <row r="196" spans="3:17">
      <c r="C196" s="1806"/>
      <c r="D196" s="1351"/>
      <c r="E196" s="1806"/>
      <c r="F196" s="778"/>
      <c r="G196" s="777"/>
      <c r="H196" s="779"/>
      <c r="I196" s="780"/>
      <c r="J196" s="1342"/>
      <c r="K196" s="1326"/>
      <c r="L196" s="1326"/>
      <c r="M196" s="1342"/>
      <c r="N196" s="1342"/>
      <c r="O196"/>
      <c r="P196"/>
    </row>
    <row r="197" spans="3:17">
      <c r="C197" s="778"/>
      <c r="D197" s="1351"/>
      <c r="E197" s="778"/>
      <c r="F197" s="778"/>
      <c r="G197" s="778"/>
      <c r="H197" s="799"/>
      <c r="I197" s="806"/>
      <c r="J197" s="1342" t="str">
        <f t="shared" ref="J197:J201" si="50">IF(I197="e",H197," ")</f>
        <v xml:space="preserve"> </v>
      </c>
      <c r="K197" s="1326" t="str">
        <f t="shared" si="34"/>
        <v xml:space="preserve"> </v>
      </c>
      <c r="L197" s="1326" t="str">
        <f t="shared" si="35"/>
        <v xml:space="preserve"> </v>
      </c>
      <c r="M197" s="1342" t="str">
        <f t="shared" si="36"/>
        <v xml:space="preserve"> </v>
      </c>
      <c r="N197" s="1342" t="str">
        <f t="shared" ref="N197:N201" si="51">IF(I197="Labor",H197," ")</f>
        <v xml:space="preserve"> </v>
      </c>
      <c r="O197"/>
      <c r="P197"/>
    </row>
    <row r="198" spans="3:17">
      <c r="C198" s="1806">
        <v>1901002</v>
      </c>
      <c r="D198" s="1351"/>
      <c r="E198" s="1806">
        <v>3511</v>
      </c>
      <c r="F198" s="778"/>
      <c r="G198" s="777" t="s">
        <v>1781</v>
      </c>
      <c r="H198" s="779">
        <v>0</v>
      </c>
      <c r="I198" s="780" t="s">
        <v>291</v>
      </c>
      <c r="J198" s="1342">
        <f t="shared" si="50"/>
        <v>0</v>
      </c>
      <c r="K198" s="1326" t="str">
        <f t="shared" si="34"/>
        <v xml:space="preserve"> </v>
      </c>
      <c r="L198" s="1326" t="str">
        <f t="shared" si="35"/>
        <v xml:space="preserve"> </v>
      </c>
      <c r="M198" s="1342" t="str">
        <f t="shared" si="36"/>
        <v xml:space="preserve"> </v>
      </c>
      <c r="N198" s="1342" t="str">
        <f t="shared" si="51"/>
        <v xml:space="preserve"> </v>
      </c>
      <c r="O198"/>
      <c r="P198"/>
    </row>
    <row r="199" spans="3:17">
      <c r="C199" s="1806">
        <v>1901002</v>
      </c>
      <c r="D199" s="1351"/>
      <c r="E199" s="1806">
        <v>4004</v>
      </c>
      <c r="F199" s="778"/>
      <c r="G199" s="777" t="s">
        <v>1782</v>
      </c>
      <c r="H199" s="779">
        <v>10557036.710000001</v>
      </c>
      <c r="I199" s="780" t="s">
        <v>291</v>
      </c>
      <c r="J199" s="1342">
        <f t="shared" si="50"/>
        <v>10557036.710000001</v>
      </c>
      <c r="K199" s="1326" t="str">
        <f t="shared" si="34"/>
        <v xml:space="preserve"> </v>
      </c>
      <c r="L199" s="1326" t="str">
        <f t="shared" si="35"/>
        <v xml:space="preserve"> </v>
      </c>
      <c r="M199" s="1342" t="str">
        <f t="shared" si="36"/>
        <v xml:space="preserve"> </v>
      </c>
      <c r="N199" s="1342" t="str">
        <f t="shared" si="51"/>
        <v xml:space="preserve"> </v>
      </c>
    </row>
    <row r="200" spans="3:17">
      <c r="C200" s="1806">
        <v>1901002</v>
      </c>
      <c r="D200" s="1351"/>
      <c r="E200" s="1806">
        <v>4018</v>
      </c>
      <c r="F200" s="778"/>
      <c r="G200" s="777" t="s">
        <v>1783</v>
      </c>
      <c r="H200" s="779">
        <v>35140555.950000003</v>
      </c>
      <c r="I200" s="780" t="s">
        <v>291</v>
      </c>
      <c r="J200" s="1342">
        <f t="shared" si="50"/>
        <v>35140555.950000003</v>
      </c>
      <c r="K200" s="1326" t="str">
        <f t="shared" si="34"/>
        <v xml:space="preserve"> </v>
      </c>
      <c r="L200" s="1326" t="str">
        <f t="shared" si="35"/>
        <v xml:space="preserve"> </v>
      </c>
      <c r="M200" s="1342" t="str">
        <f t="shared" si="36"/>
        <v xml:space="preserve"> </v>
      </c>
      <c r="N200" s="1342" t="str">
        <f t="shared" si="51"/>
        <v xml:space="preserve"> </v>
      </c>
    </row>
    <row r="201" spans="3:17">
      <c r="C201" s="1806">
        <v>1901002</v>
      </c>
      <c r="D201" s="1351"/>
      <c r="E201" s="1806">
        <v>4031</v>
      </c>
      <c r="F201" s="778"/>
      <c r="G201" s="777" t="s">
        <v>1698</v>
      </c>
      <c r="H201" s="779">
        <v>468229.07</v>
      </c>
      <c r="I201" s="780" t="s">
        <v>291</v>
      </c>
      <c r="J201" s="1342">
        <f t="shared" si="50"/>
        <v>468229.07</v>
      </c>
      <c r="K201" s="1326" t="str">
        <f t="shared" ref="K201" si="52">IF($I201="T",$H201," ")</f>
        <v xml:space="preserve"> </v>
      </c>
      <c r="L201" s="1326" t="str">
        <f t="shared" ref="L201" si="53">IF($I201="PTD",$H201," ")</f>
        <v xml:space="preserve"> </v>
      </c>
      <c r="M201" s="1342" t="str">
        <f t="shared" ref="M201" si="54">IF($I201="T&amp;D",$H201," ")</f>
        <v xml:space="preserve"> </v>
      </c>
      <c r="N201" s="1342" t="str">
        <f t="shared" si="51"/>
        <v xml:space="preserve"> </v>
      </c>
    </row>
    <row r="202" spans="3:17">
      <c r="C202" s="1343"/>
      <c r="D202" s="1339"/>
      <c r="E202" s="1343"/>
      <c r="F202" s="778"/>
      <c r="G202" s="1343"/>
      <c r="H202" s="1340"/>
      <c r="I202" s="1341"/>
      <c r="J202" s="1342"/>
      <c r="K202" s="1326"/>
      <c r="L202" s="1326"/>
      <c r="M202" s="1342"/>
      <c r="N202" s="1342"/>
    </row>
    <row r="203" spans="3:17">
      <c r="C203" s="1352"/>
      <c r="J203" s="1350"/>
    </row>
    <row r="204" spans="3:17" ht="13">
      <c r="C204" s="33">
        <v>190.1</v>
      </c>
      <c r="D204" s="286"/>
      <c r="G204" s="561" t="s">
        <v>159</v>
      </c>
      <c r="H204" s="801">
        <f>SUM(H145:H203)</f>
        <v>128383315.55</v>
      </c>
      <c r="I204" s="1326"/>
      <c r="J204" s="801">
        <f>SUM(J145:J203)</f>
        <v>-237956235.18110001</v>
      </c>
      <c r="K204" s="801">
        <f>SUM(K145:K203)</f>
        <v>0</v>
      </c>
      <c r="L204" s="801">
        <f>SUM(L145:L203)</f>
        <v>366355779.94109994</v>
      </c>
      <c r="M204" s="801">
        <f>SUM(M145:M203)</f>
        <v>0</v>
      </c>
      <c r="N204" s="801">
        <f>SUM(N145:N203)</f>
        <v>-16229.210000000036</v>
      </c>
      <c r="O204" s="782"/>
      <c r="P204" s="1326">
        <f>SUM(J204:O204)</f>
        <v>128383315.54999994</v>
      </c>
      <c r="Q204" s="1326"/>
    </row>
    <row r="205" spans="3:17">
      <c r="G205" s="1346" t="s">
        <v>129</v>
      </c>
      <c r="H205" s="1340">
        <v>128383316</v>
      </c>
      <c r="I205"/>
      <c r="J205" s="1347"/>
    </row>
    <row r="206" spans="3:17">
      <c r="G206" s="1346"/>
      <c r="H206" s="1353"/>
    </row>
    <row r="207" spans="3:17" ht="33" customHeight="1">
      <c r="C207" s="2407"/>
      <c r="D207" s="2407"/>
      <c r="E207" s="2407"/>
      <c r="F207" s="2407"/>
      <c r="G207" s="2407"/>
      <c r="H207" s="2407"/>
      <c r="I207" s="2407"/>
      <c r="J207" s="2407"/>
      <c r="K207" s="2407"/>
      <c r="L207" s="2407"/>
      <c r="M207" s="2407"/>
      <c r="N207" s="2407"/>
    </row>
    <row r="220" spans="4:8">
      <c r="D220" s="1345"/>
      <c r="H220" s="1354"/>
    </row>
    <row r="256" spans="4:6">
      <c r="D256" s="286"/>
      <c r="F256" s="1336"/>
    </row>
    <row r="257" spans="4:4">
      <c r="D257" s="286"/>
    </row>
    <row r="258" spans="4:4">
      <c r="D258" s="286"/>
    </row>
    <row r="259" spans="4:4">
      <c r="D259" s="286"/>
    </row>
    <row r="260" spans="4:4">
      <c r="D260" s="286"/>
    </row>
    <row r="261" spans="4:4">
      <c r="D261" s="286"/>
    </row>
    <row r="262" spans="4:4">
      <c r="D262" s="286"/>
    </row>
    <row r="263" spans="4:4">
      <c r="D263" s="286"/>
    </row>
    <row r="264" spans="4:4">
      <c r="D264" s="286"/>
    </row>
    <row r="265" spans="4:4">
      <c r="D265" s="286"/>
    </row>
    <row r="266" spans="4:4">
      <c r="D266" s="286"/>
    </row>
    <row r="267" spans="4:4">
      <c r="D267" s="286"/>
    </row>
    <row r="268" spans="4:4">
      <c r="D268" s="286"/>
    </row>
    <row r="269" spans="4:4">
      <c r="D269" s="286"/>
    </row>
    <row r="270" spans="4:4">
      <c r="D270" s="286"/>
    </row>
    <row r="271" spans="4:4">
      <c r="D271" s="286"/>
    </row>
    <row r="272" spans="4:4">
      <c r="D272" s="286"/>
    </row>
    <row r="273" spans="1:24">
      <c r="D273" s="286"/>
    </row>
    <row r="274" spans="1:24">
      <c r="D274" s="286"/>
    </row>
    <row r="275" spans="1:24">
      <c r="D275" s="286"/>
    </row>
    <row r="276" spans="1:24">
      <c r="D276" s="286"/>
    </row>
    <row r="277" spans="1:24">
      <c r="D277" s="286"/>
    </row>
    <row r="278" spans="1:24">
      <c r="D278" s="286"/>
    </row>
    <row r="279" spans="1:24">
      <c r="D279" s="286"/>
    </row>
    <row r="280" spans="1:24" s="1337" customFormat="1">
      <c r="A280" s="286"/>
      <c r="B280" s="286"/>
      <c r="C280" s="286"/>
      <c r="D280" s="286"/>
      <c r="E280" s="286"/>
      <c r="F280" s="286"/>
      <c r="G280" s="286"/>
      <c r="I280" s="286"/>
      <c r="J280" s="286"/>
      <c r="K280" s="286"/>
      <c r="L280" s="286"/>
      <c r="M280" s="286"/>
      <c r="N280" s="286"/>
      <c r="O280" s="286"/>
      <c r="P280" s="286"/>
      <c r="Q280" s="286"/>
      <c r="R280" s="286"/>
      <c r="S280" s="286"/>
      <c r="T280" s="286"/>
      <c r="U280" s="286"/>
      <c r="V280" s="286"/>
      <c r="W280" s="286"/>
      <c r="X280" s="286"/>
    </row>
    <row r="281" spans="1:24" s="1337" customFormat="1">
      <c r="A281" s="286"/>
      <c r="B281" s="286"/>
      <c r="C281" s="286"/>
      <c r="D281" s="286"/>
      <c r="E281" s="286"/>
      <c r="F281" s="286"/>
      <c r="G281" s="286"/>
      <c r="I281" s="286"/>
      <c r="J281" s="286"/>
      <c r="K281" s="286"/>
      <c r="L281" s="286"/>
      <c r="M281" s="286"/>
      <c r="N281" s="286"/>
      <c r="O281" s="286"/>
      <c r="P281" s="286"/>
      <c r="Q281" s="286"/>
      <c r="R281" s="286"/>
      <c r="S281" s="286"/>
      <c r="T281" s="286"/>
      <c r="U281" s="286"/>
      <c r="V281" s="286"/>
      <c r="W281" s="286"/>
      <c r="X281" s="286"/>
    </row>
    <row r="282" spans="1:24" s="1337" customFormat="1">
      <c r="A282" s="286"/>
      <c r="B282" s="286"/>
      <c r="C282" s="286"/>
      <c r="D282" s="286"/>
      <c r="E282" s="286"/>
      <c r="F282" s="286"/>
      <c r="G282" s="286"/>
      <c r="I282" s="286"/>
      <c r="J282" s="286"/>
      <c r="K282" s="286"/>
      <c r="L282" s="286"/>
      <c r="M282" s="286"/>
      <c r="N282" s="286"/>
      <c r="O282" s="286"/>
      <c r="P282" s="286"/>
      <c r="Q282" s="286"/>
      <c r="R282" s="286"/>
      <c r="S282" s="286"/>
      <c r="T282" s="286"/>
      <c r="U282" s="286"/>
      <c r="V282" s="286"/>
      <c r="W282" s="286"/>
      <c r="X282" s="286"/>
    </row>
    <row r="283" spans="1:24" s="1337" customFormat="1">
      <c r="A283" s="286"/>
      <c r="B283" s="286"/>
      <c r="C283" s="286"/>
      <c r="D283" s="286"/>
      <c r="E283" s="286"/>
      <c r="F283" s="286"/>
      <c r="G283" s="286"/>
      <c r="I283" s="286"/>
      <c r="J283" s="286"/>
      <c r="K283" s="286"/>
      <c r="L283" s="286"/>
      <c r="M283" s="286"/>
      <c r="N283" s="286"/>
      <c r="O283" s="286"/>
      <c r="P283" s="286"/>
      <c r="Q283" s="286"/>
      <c r="R283" s="286"/>
      <c r="S283" s="286"/>
      <c r="T283" s="286"/>
      <c r="U283" s="286"/>
      <c r="V283" s="286"/>
      <c r="W283" s="286"/>
      <c r="X283" s="286"/>
    </row>
    <row r="284" spans="1:24" s="1337" customFormat="1">
      <c r="A284" s="286"/>
      <c r="B284" s="286"/>
      <c r="C284" s="286"/>
      <c r="D284" s="286"/>
      <c r="E284" s="286"/>
      <c r="F284" s="286"/>
      <c r="G284" s="286"/>
      <c r="I284" s="286"/>
      <c r="J284" s="286"/>
      <c r="K284" s="286"/>
      <c r="L284" s="286"/>
      <c r="M284" s="286"/>
      <c r="N284" s="286"/>
      <c r="O284" s="286"/>
      <c r="P284" s="286"/>
      <c r="Q284" s="286"/>
      <c r="R284" s="286"/>
      <c r="S284" s="286"/>
      <c r="T284" s="286"/>
      <c r="U284" s="286"/>
      <c r="V284" s="286"/>
      <c r="W284" s="286"/>
      <c r="X284" s="286"/>
    </row>
    <row r="285" spans="1:24" s="1337" customFormat="1">
      <c r="A285" s="286"/>
      <c r="B285" s="286"/>
      <c r="C285" s="286"/>
      <c r="D285" s="286"/>
      <c r="E285" s="286"/>
      <c r="F285" s="286"/>
      <c r="G285" s="286"/>
      <c r="I285" s="286"/>
      <c r="J285" s="286"/>
      <c r="K285" s="286"/>
      <c r="L285" s="286"/>
      <c r="M285" s="286"/>
      <c r="N285" s="286"/>
      <c r="O285" s="286"/>
      <c r="P285" s="286"/>
      <c r="Q285" s="286"/>
      <c r="R285" s="286"/>
      <c r="S285" s="286"/>
      <c r="T285" s="286"/>
      <c r="U285" s="286"/>
      <c r="V285" s="286"/>
      <c r="W285" s="286"/>
      <c r="X285" s="286"/>
    </row>
    <row r="286" spans="1:24" s="1337" customFormat="1">
      <c r="A286" s="286"/>
      <c r="B286" s="286"/>
      <c r="C286" s="286"/>
      <c r="D286" s="286"/>
      <c r="E286" s="286"/>
      <c r="F286" s="286"/>
      <c r="G286" s="286"/>
      <c r="I286" s="286"/>
      <c r="J286" s="286"/>
      <c r="K286" s="286"/>
      <c r="L286" s="286"/>
      <c r="M286" s="286"/>
      <c r="N286" s="286"/>
      <c r="O286" s="286"/>
      <c r="P286" s="286"/>
      <c r="Q286" s="286"/>
      <c r="R286" s="286"/>
      <c r="S286" s="286"/>
      <c r="T286" s="286"/>
      <c r="U286" s="286"/>
      <c r="V286" s="286"/>
      <c r="W286" s="286"/>
      <c r="X286" s="286"/>
    </row>
    <row r="287" spans="1:24" s="1337" customFormat="1">
      <c r="A287" s="286"/>
      <c r="B287" s="286"/>
      <c r="C287" s="286"/>
      <c r="D287" s="286"/>
      <c r="E287" s="286"/>
      <c r="F287" s="286"/>
      <c r="G287" s="286"/>
      <c r="I287" s="286"/>
      <c r="J287" s="286"/>
      <c r="K287" s="286"/>
      <c r="L287" s="286"/>
      <c r="M287" s="286"/>
      <c r="N287" s="286"/>
      <c r="O287" s="286"/>
      <c r="P287" s="286"/>
      <c r="Q287" s="286"/>
      <c r="R287" s="286"/>
      <c r="S287" s="286"/>
      <c r="T287" s="286"/>
      <c r="U287" s="286"/>
      <c r="V287" s="286"/>
      <c r="W287" s="286"/>
      <c r="X287" s="286"/>
    </row>
    <row r="288" spans="1:24" s="1337" customFormat="1">
      <c r="A288" s="286"/>
      <c r="B288" s="286"/>
      <c r="C288" s="286"/>
      <c r="D288" s="286"/>
      <c r="E288" s="286"/>
      <c r="F288" s="286"/>
      <c r="G288" s="286"/>
      <c r="I288" s="286"/>
      <c r="J288" s="286"/>
      <c r="K288" s="286"/>
      <c r="L288" s="286"/>
      <c r="M288" s="286"/>
      <c r="N288" s="286"/>
      <c r="O288" s="286"/>
      <c r="P288" s="286"/>
      <c r="Q288" s="286"/>
      <c r="R288" s="286"/>
      <c r="S288" s="286"/>
      <c r="T288" s="286"/>
      <c r="U288" s="286"/>
      <c r="V288" s="286"/>
      <c r="W288" s="286"/>
      <c r="X288" s="286"/>
    </row>
    <row r="289" spans="1:24" s="1337" customFormat="1">
      <c r="A289" s="286"/>
      <c r="B289" s="286"/>
      <c r="C289" s="286"/>
      <c r="D289" s="286"/>
      <c r="E289" s="286"/>
      <c r="F289" s="286"/>
      <c r="G289" s="286"/>
      <c r="I289" s="286"/>
      <c r="J289" s="286"/>
      <c r="K289" s="286"/>
      <c r="L289" s="286"/>
      <c r="M289" s="286"/>
      <c r="N289" s="286"/>
      <c r="O289" s="286"/>
      <c r="P289" s="286"/>
      <c r="Q289" s="286"/>
      <c r="R289" s="286"/>
      <c r="S289" s="286"/>
      <c r="T289" s="286"/>
      <c r="U289" s="286"/>
      <c r="V289" s="286"/>
      <c r="W289" s="286"/>
      <c r="X289" s="286"/>
    </row>
    <row r="290" spans="1:24" s="1337" customFormat="1">
      <c r="A290" s="286"/>
      <c r="B290" s="286"/>
      <c r="C290" s="286"/>
      <c r="D290" s="286"/>
      <c r="E290" s="286"/>
      <c r="F290" s="286"/>
      <c r="G290" s="286"/>
      <c r="I290" s="286"/>
      <c r="J290" s="286"/>
      <c r="K290" s="286"/>
      <c r="L290" s="286"/>
      <c r="M290" s="286"/>
      <c r="N290" s="286"/>
      <c r="O290" s="286"/>
      <c r="P290" s="286"/>
      <c r="Q290" s="286"/>
      <c r="R290" s="286"/>
      <c r="S290" s="286"/>
      <c r="T290" s="286"/>
      <c r="U290" s="286"/>
      <c r="V290" s="286"/>
      <c r="W290" s="286"/>
      <c r="X290" s="286"/>
    </row>
    <row r="291" spans="1:24" s="1337" customFormat="1">
      <c r="A291" s="286"/>
      <c r="B291" s="286"/>
      <c r="C291" s="286"/>
      <c r="D291" s="286"/>
      <c r="E291" s="286"/>
      <c r="F291" s="286"/>
      <c r="G291" s="286"/>
      <c r="I291" s="286"/>
      <c r="J291" s="286"/>
      <c r="K291" s="286"/>
      <c r="L291" s="286"/>
      <c r="M291" s="286"/>
      <c r="N291" s="286"/>
      <c r="O291" s="286"/>
      <c r="P291" s="286"/>
      <c r="Q291" s="286"/>
      <c r="R291" s="286"/>
      <c r="S291" s="286"/>
      <c r="T291" s="286"/>
      <c r="U291" s="286"/>
      <c r="V291" s="286"/>
      <c r="W291" s="286"/>
      <c r="X291" s="286"/>
    </row>
    <row r="292" spans="1:24" s="1337" customFormat="1">
      <c r="A292" s="286"/>
      <c r="B292" s="286"/>
      <c r="C292" s="286"/>
      <c r="D292" s="1345"/>
      <c r="E292" s="286"/>
      <c r="F292" s="286"/>
      <c r="G292" s="286"/>
      <c r="I292" s="286"/>
      <c r="J292" s="286"/>
      <c r="K292" s="286"/>
      <c r="L292" s="286"/>
      <c r="M292" s="286"/>
      <c r="N292" s="286"/>
      <c r="O292" s="286"/>
      <c r="P292" s="286"/>
      <c r="Q292" s="286"/>
      <c r="R292" s="286"/>
      <c r="S292" s="286"/>
      <c r="T292" s="286"/>
      <c r="U292" s="286"/>
      <c r="V292" s="286"/>
      <c r="W292" s="286"/>
      <c r="X292" s="286"/>
    </row>
    <row r="293" spans="1:24" s="1337" customFormat="1">
      <c r="A293" s="286"/>
      <c r="B293" s="286"/>
      <c r="C293" s="286"/>
      <c r="D293" s="1345"/>
      <c r="E293" s="286"/>
      <c r="F293" s="286"/>
      <c r="G293" s="286"/>
      <c r="I293" s="286"/>
      <c r="J293" s="286"/>
      <c r="K293" s="286"/>
      <c r="L293" s="286"/>
      <c r="M293" s="286"/>
      <c r="N293" s="286"/>
      <c r="O293" s="286"/>
      <c r="P293" s="286"/>
      <c r="Q293" s="286"/>
      <c r="R293" s="286"/>
      <c r="S293" s="286"/>
      <c r="T293" s="286"/>
      <c r="U293" s="286"/>
      <c r="V293" s="286"/>
      <c r="W293" s="286"/>
      <c r="X293" s="286"/>
    </row>
    <row r="294" spans="1:24" s="1337" customFormat="1">
      <c r="A294" s="286"/>
      <c r="B294" s="286"/>
      <c r="C294" s="286"/>
      <c r="D294" s="1345"/>
      <c r="E294" s="286"/>
      <c r="F294" s="286"/>
      <c r="G294" s="286"/>
      <c r="I294" s="286"/>
      <c r="J294" s="286"/>
      <c r="K294" s="286"/>
      <c r="L294" s="286"/>
      <c r="M294" s="286"/>
      <c r="N294" s="286"/>
      <c r="O294" s="286"/>
      <c r="P294" s="286"/>
      <c r="Q294" s="286"/>
      <c r="R294" s="286"/>
      <c r="S294" s="286"/>
      <c r="T294" s="286"/>
      <c r="U294" s="286"/>
      <c r="V294" s="286"/>
      <c r="W294" s="286"/>
      <c r="X294" s="286"/>
    </row>
    <row r="295" spans="1:24" s="1337" customFormat="1">
      <c r="A295" s="286"/>
      <c r="B295" s="286"/>
      <c r="C295" s="286"/>
      <c r="D295" s="1345"/>
      <c r="E295" s="286"/>
      <c r="F295" s="286"/>
      <c r="G295" s="286"/>
      <c r="I295" s="286"/>
      <c r="J295" s="286"/>
      <c r="K295" s="286"/>
      <c r="L295" s="286"/>
      <c r="M295" s="286"/>
      <c r="N295" s="286"/>
      <c r="O295" s="286"/>
      <c r="P295" s="286"/>
      <c r="Q295" s="286"/>
      <c r="R295" s="286"/>
      <c r="S295" s="286"/>
      <c r="T295" s="286"/>
      <c r="U295" s="286"/>
      <c r="V295" s="286"/>
      <c r="W295" s="286"/>
      <c r="X295" s="286"/>
    </row>
    <row r="296" spans="1:24" s="1337" customFormat="1">
      <c r="A296" s="286"/>
      <c r="B296" s="286"/>
      <c r="C296" s="286"/>
      <c r="D296" s="1345"/>
      <c r="E296" s="286"/>
      <c r="F296" s="286"/>
      <c r="G296" s="286"/>
      <c r="I296" s="286"/>
      <c r="J296" s="286"/>
      <c r="K296" s="286"/>
      <c r="L296" s="286"/>
      <c r="M296" s="286"/>
      <c r="N296" s="286"/>
      <c r="O296" s="286"/>
      <c r="P296" s="286"/>
      <c r="Q296" s="286"/>
      <c r="R296" s="286"/>
      <c r="S296" s="286"/>
      <c r="T296" s="286"/>
      <c r="U296" s="286"/>
      <c r="V296" s="286"/>
      <c r="W296" s="286"/>
      <c r="X296" s="286"/>
    </row>
    <row r="297" spans="1:24" s="1337" customFormat="1">
      <c r="A297" s="286"/>
      <c r="B297" s="286"/>
      <c r="C297" s="286"/>
      <c r="D297" s="1345"/>
      <c r="E297" s="286"/>
      <c r="F297" s="286"/>
      <c r="G297" s="286"/>
      <c r="I297" s="286"/>
      <c r="J297" s="286"/>
      <c r="K297" s="286"/>
      <c r="L297" s="286"/>
      <c r="M297" s="286"/>
      <c r="N297" s="286"/>
      <c r="O297" s="286"/>
      <c r="P297" s="286"/>
      <c r="Q297" s="286"/>
      <c r="R297" s="286"/>
      <c r="S297" s="286"/>
      <c r="T297" s="286"/>
      <c r="U297" s="286"/>
      <c r="V297" s="286"/>
      <c r="W297" s="286"/>
      <c r="X297" s="286"/>
    </row>
  </sheetData>
  <mergeCells count="6">
    <mergeCell ref="C207:N207"/>
    <mergeCell ref="C3:N3"/>
    <mergeCell ref="C4:N4"/>
    <mergeCell ref="C5:N5"/>
    <mergeCell ref="C6:N6"/>
    <mergeCell ref="J8:N8"/>
  </mergeCells>
  <conditionalFormatting sqref="O45:O46">
    <cfRule type="cellIs" dxfId="4" priority="1" stopIfTrue="1" operator="equal">
      <formula>FALSE</formula>
    </cfRule>
  </conditionalFormatting>
  <conditionalFormatting sqref="O141 O204">
    <cfRule type="cellIs" dxfId="3" priority="2" stopIfTrue="1" operator="equal">
      <formula>FALSE</formula>
    </cfRule>
  </conditionalFormatting>
  <pageMargins left="0.5" right="0.5" top="1" bottom="0.5" header="0.5" footer="0.5"/>
  <pageSetup scale="43" fitToHeight="0" orientation="portrait" r:id="rId1"/>
  <headerFooter alignWithMargins="0">
    <oddHeader>&amp;R&amp;18AEP - SPP Formula Rate
TCOS - WS-C-1
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X303"/>
  <sheetViews>
    <sheetView topLeftCell="A169" zoomScale="80" zoomScaleNormal="80" zoomScaleSheetLayoutView="75" zoomScalePageLayoutView="75" workbookViewId="0">
      <selection activeCell="K53" sqref="K53"/>
    </sheetView>
  </sheetViews>
  <sheetFormatPr defaultColWidth="8.81640625" defaultRowHeight="12.5"/>
  <cols>
    <col min="1" max="2" width="1.54296875" style="286" customWidth="1"/>
    <col min="3" max="3" width="10.54296875" style="286" customWidth="1"/>
    <col min="4" max="4" width="1.54296875" style="1336" customWidth="1"/>
    <col min="5" max="5" width="11.1796875" style="354" customWidth="1"/>
    <col min="6" max="6" width="1.7265625" style="286" customWidth="1"/>
    <col min="7" max="7" width="53.453125" style="286" customWidth="1"/>
    <col min="8" max="8" width="18.54296875" style="1337" customWidth="1"/>
    <col min="9" max="9" width="16.1796875" style="286" customWidth="1"/>
    <col min="10" max="10" width="16.81640625" style="286" customWidth="1"/>
    <col min="11" max="11" width="16.453125" style="286" customWidth="1"/>
    <col min="12" max="12" width="18.81640625" style="286" customWidth="1"/>
    <col min="13" max="13" width="13.453125" style="286" customWidth="1"/>
    <col min="14" max="14" width="17.1796875" style="286" customWidth="1"/>
    <col min="15" max="15" width="8.81640625" style="286"/>
    <col min="16" max="16" width="15.1796875" style="286" bestFit="1" customWidth="1"/>
    <col min="17" max="16384" width="8.81640625" style="286"/>
  </cols>
  <sheetData>
    <row r="1" spans="1:24" ht="15.5">
      <c r="A1" s="206"/>
    </row>
    <row r="2" spans="1:24" ht="20">
      <c r="A2" s="772"/>
      <c r="B2" s="773"/>
      <c r="D2" s="286"/>
      <c r="I2" s="1319"/>
      <c r="J2" s="1319"/>
      <c r="K2" s="1319"/>
      <c r="L2"/>
      <c r="M2" s="1319"/>
      <c r="N2" s="36" t="s">
        <v>254</v>
      </c>
      <c r="O2" s="128"/>
    </row>
    <row r="3" spans="1:24" ht="20.25" customHeight="1">
      <c r="A3" s="36"/>
      <c r="B3" s="127"/>
      <c r="C3" s="2292" t="str">
        <f>+'SWEPCO TCOS'!F4</f>
        <v xml:space="preserve">AEP West SPP Member Operating Companies </v>
      </c>
      <c r="D3" s="2292"/>
      <c r="E3" s="2292"/>
      <c r="F3" s="2292"/>
      <c r="G3" s="2292"/>
      <c r="H3" s="2292"/>
      <c r="I3" s="2292"/>
      <c r="J3" s="2292"/>
      <c r="K3" s="2292"/>
      <c r="L3" s="2292"/>
      <c r="M3" s="2292"/>
      <c r="N3" s="2292"/>
      <c r="O3" s="128"/>
    </row>
    <row r="4" spans="1:24" ht="17.5">
      <c r="C4" s="2405" t="str">
        <f>+'SWEPCO TCOS'!F8</f>
        <v>SOUTHWESTERN ELECTRIC POWER COMPANY</v>
      </c>
      <c r="D4" s="2405"/>
      <c r="E4" s="2405"/>
      <c r="F4" s="2405"/>
      <c r="G4" s="2405"/>
      <c r="H4" s="2405"/>
      <c r="I4" s="2405"/>
      <c r="J4" s="2405"/>
      <c r="K4" s="2405"/>
      <c r="L4" s="2405"/>
      <c r="M4" s="2405"/>
      <c r="N4" s="2405"/>
      <c r="O4" s="128"/>
    </row>
    <row r="5" spans="1:24" ht="18">
      <c r="C5" s="2405" t="s">
        <v>653</v>
      </c>
      <c r="D5" s="2405"/>
      <c r="E5" s="2405"/>
      <c r="F5" s="2405"/>
      <c r="G5" s="2405"/>
      <c r="H5" s="2405"/>
      <c r="I5" s="2405"/>
      <c r="J5" s="2405"/>
      <c r="K5" s="2405"/>
      <c r="L5" s="2405"/>
      <c r="M5" s="2405"/>
      <c r="N5" s="2405"/>
    </row>
    <row r="6" spans="1:24" ht="23.25" customHeight="1">
      <c r="C6" s="2296" t="str">
        <f>"AS OF DECEMBER 31, "&amp;'SWEPCO TCOS'!N2-1&amp;""</f>
        <v>AS OF DECEMBER 31, 2023</v>
      </c>
      <c r="D6" s="2296"/>
      <c r="E6" s="2296"/>
      <c r="F6" s="2296"/>
      <c r="G6" s="2296"/>
      <c r="H6" s="2296"/>
      <c r="I6" s="2296"/>
      <c r="J6" s="2296"/>
      <c r="K6" s="2296"/>
      <c r="L6" s="2296"/>
      <c r="M6" s="2296"/>
      <c r="N6" s="2296"/>
    </row>
    <row r="7" spans="1:24">
      <c r="D7" s="286"/>
    </row>
    <row r="8" spans="1:24">
      <c r="D8" s="286"/>
      <c r="J8" s="2294" t="s">
        <v>152</v>
      </c>
      <c r="K8" s="2294"/>
      <c r="L8" s="2294"/>
      <c r="M8" s="2294"/>
      <c r="N8" s="2294"/>
    </row>
    <row r="9" spans="1:24" ht="26">
      <c r="C9" s="774" t="s">
        <v>390</v>
      </c>
      <c r="D9" s="33"/>
      <c r="E9" s="774" t="s">
        <v>153</v>
      </c>
      <c r="G9" s="774" t="s">
        <v>306</v>
      </c>
      <c r="H9" s="775" t="s">
        <v>316</v>
      </c>
      <c r="I9" s="48" t="s">
        <v>84</v>
      </c>
      <c r="J9" s="48" t="s">
        <v>154</v>
      </c>
      <c r="K9" s="48" t="s">
        <v>155</v>
      </c>
      <c r="L9" s="774" t="s">
        <v>156</v>
      </c>
      <c r="M9" s="774" t="s">
        <v>157</v>
      </c>
      <c r="N9" s="774" t="s">
        <v>300</v>
      </c>
    </row>
    <row r="10" spans="1:24">
      <c r="C10" s="1809">
        <v>2821001</v>
      </c>
      <c r="D10" s="1339" t="s">
        <v>337</v>
      </c>
      <c r="E10" s="1809">
        <v>2006</v>
      </c>
      <c r="F10"/>
      <c r="G10" s="813" t="s">
        <v>1673</v>
      </c>
      <c r="H10" s="2455">
        <v>-6894392</v>
      </c>
      <c r="I10" s="1341" t="s">
        <v>291</v>
      </c>
      <c r="J10" s="1342">
        <f t="shared" ref="J10" si="0">IF(I10="e",H10," ")</f>
        <v>-6894392</v>
      </c>
      <c r="K10" s="1326" t="str">
        <f t="shared" ref="K10:K45" si="1">IF($I10="T",$H10," ")</f>
        <v xml:space="preserve"> </v>
      </c>
      <c r="L10" s="1326" t="str">
        <f t="shared" ref="L10:L45" si="2">IF($I10="PTD",$H10," ")</f>
        <v xml:space="preserve"> </v>
      </c>
      <c r="M10" s="1342" t="str">
        <f t="shared" ref="M10:M45" si="3">IF($I10="T&amp;D",$H10," ")</f>
        <v xml:space="preserve"> </v>
      </c>
      <c r="N10" s="1342" t="str">
        <f t="shared" ref="N10" si="4">IF(I10="Labor",H10," ")</f>
        <v xml:space="preserve"> </v>
      </c>
      <c r="P10"/>
      <c r="Q10"/>
      <c r="R10"/>
      <c r="S10"/>
      <c r="T10"/>
      <c r="U10"/>
      <c r="V10"/>
      <c r="W10"/>
      <c r="X10"/>
    </row>
    <row r="11" spans="1:24">
      <c r="C11" s="1809">
        <v>2821001</v>
      </c>
      <c r="D11" s="1339"/>
      <c r="E11" s="1809">
        <v>2010</v>
      </c>
      <c r="F11"/>
      <c r="G11" s="813" t="s">
        <v>1674</v>
      </c>
      <c r="H11" s="2455">
        <v>-405735494.66000003</v>
      </c>
      <c r="I11" s="1341" t="s">
        <v>1529</v>
      </c>
      <c r="J11" s="1340">
        <f>'SWEPCO WS C-4 Excess FIT'!E43</f>
        <v>-323826721.25204384</v>
      </c>
      <c r="K11" s="1340">
        <f>'SWEPCO WS C-4 Excess FIT'!E42</f>
        <v>-81908773.407956198</v>
      </c>
      <c r="L11" s="1353"/>
      <c r="M11" s="1342" t="str">
        <f t="shared" si="3"/>
        <v xml:space="preserve"> </v>
      </c>
      <c r="N11" s="1342" t="str">
        <f t="shared" ref="N11:N43" si="5">IF(I11="Labor",H11," ")</f>
        <v xml:space="preserve"> </v>
      </c>
      <c r="P11"/>
      <c r="Q11"/>
      <c r="R11"/>
      <c r="S11"/>
      <c r="T11"/>
      <c r="U11"/>
      <c r="V11"/>
      <c r="W11"/>
      <c r="X11"/>
    </row>
    <row r="12" spans="1:24">
      <c r="C12" s="1809">
        <v>2821001</v>
      </c>
      <c r="D12" s="1339" t="s">
        <v>337</v>
      </c>
      <c r="E12" s="1809">
        <v>2011</v>
      </c>
      <c r="F12"/>
      <c r="G12" s="813" t="s">
        <v>1675</v>
      </c>
      <c r="H12" s="2455">
        <v>-7402433.9100000001</v>
      </c>
      <c r="I12" s="1341" t="s">
        <v>1529</v>
      </c>
      <c r="J12" s="1340">
        <f>'SWEPCO WS C-4 Excess FIT'!F26</f>
        <v>-7402433.9100000001</v>
      </c>
      <c r="K12" s="1340">
        <f>'SWEPCO WS C-4 Excess FIT'!F29</f>
        <v>0</v>
      </c>
      <c r="L12" s="1326" t="str">
        <f t="shared" si="2"/>
        <v xml:space="preserve"> </v>
      </c>
      <c r="M12" s="1342" t="str">
        <f t="shared" si="3"/>
        <v xml:space="preserve"> </v>
      </c>
      <c r="N12" s="1342" t="str">
        <f t="shared" si="5"/>
        <v xml:space="preserve"> </v>
      </c>
      <c r="P12"/>
    </row>
    <row r="13" spans="1:24">
      <c r="C13" s="1809">
        <v>2821001</v>
      </c>
      <c r="D13" s="1339" t="s">
        <v>337</v>
      </c>
      <c r="E13" s="1809">
        <v>6002</v>
      </c>
      <c r="F13"/>
      <c r="G13" s="813" t="s">
        <v>1676</v>
      </c>
      <c r="H13" s="2455">
        <v>-53841564.640000001</v>
      </c>
      <c r="I13" s="1341" t="s">
        <v>158</v>
      </c>
      <c r="J13" s="1342" t="str">
        <f t="shared" ref="J13:J43" si="6">IF(I13="e",H13," ")</f>
        <v xml:space="preserve"> </v>
      </c>
      <c r="K13" s="1326" t="str">
        <f t="shared" si="1"/>
        <v xml:space="preserve"> </v>
      </c>
      <c r="L13" s="1326">
        <f t="shared" si="2"/>
        <v>-53841564.640000001</v>
      </c>
      <c r="M13" s="1342" t="str">
        <f t="shared" si="3"/>
        <v xml:space="preserve"> </v>
      </c>
      <c r="N13" s="1342" t="str">
        <f t="shared" si="5"/>
        <v xml:space="preserve"> </v>
      </c>
      <c r="P13"/>
    </row>
    <row r="14" spans="1:24">
      <c r="C14" s="1809">
        <v>2821001</v>
      </c>
      <c r="D14" s="1339"/>
      <c r="E14" s="1809">
        <v>6004</v>
      </c>
      <c r="F14"/>
      <c r="G14" s="813" t="s">
        <v>1677</v>
      </c>
      <c r="H14" s="2455">
        <v>-24174906.73</v>
      </c>
      <c r="I14" s="1341" t="s">
        <v>291</v>
      </c>
      <c r="J14" s="1342">
        <f t="shared" si="6"/>
        <v>-24174906.73</v>
      </c>
      <c r="K14" s="1326" t="str">
        <f t="shared" si="1"/>
        <v xml:space="preserve"> </v>
      </c>
      <c r="L14" s="1326" t="str">
        <f t="shared" si="2"/>
        <v xml:space="preserve"> </v>
      </c>
      <c r="M14" s="1342" t="str">
        <f t="shared" si="3"/>
        <v xml:space="preserve"> </v>
      </c>
      <c r="N14" s="1342" t="str">
        <f t="shared" si="5"/>
        <v xml:space="preserve"> </v>
      </c>
      <c r="P14"/>
    </row>
    <row r="15" spans="1:24">
      <c r="C15" s="1809">
        <v>2821001</v>
      </c>
      <c r="D15" s="1339"/>
      <c r="E15" s="1809">
        <v>6006</v>
      </c>
      <c r="F15"/>
      <c r="G15" s="813" t="s">
        <v>1678</v>
      </c>
      <c r="H15" s="2455">
        <v>-11545867.630000001</v>
      </c>
      <c r="I15" s="1341" t="s">
        <v>158</v>
      </c>
      <c r="J15" s="1342" t="str">
        <f t="shared" si="6"/>
        <v xml:space="preserve"> </v>
      </c>
      <c r="K15" s="1326" t="str">
        <f t="shared" si="1"/>
        <v xml:space="preserve"> </v>
      </c>
      <c r="L15" s="1326">
        <f t="shared" si="2"/>
        <v>-11545867.630000001</v>
      </c>
      <c r="M15" s="1342" t="str">
        <f t="shared" si="3"/>
        <v xml:space="preserve"> </v>
      </c>
      <c r="N15" s="1342" t="str">
        <f t="shared" si="5"/>
        <v xml:space="preserve"> </v>
      </c>
      <c r="P15"/>
    </row>
    <row r="16" spans="1:24">
      <c r="C16" s="1809">
        <v>2821001</v>
      </c>
      <c r="D16" s="1339"/>
      <c r="E16" s="1809">
        <v>6007</v>
      </c>
      <c r="F16"/>
      <c r="G16" s="813" t="s">
        <v>1679</v>
      </c>
      <c r="H16" s="2455">
        <v>13823116.51</v>
      </c>
      <c r="I16" s="1341" t="s">
        <v>291</v>
      </c>
      <c r="J16" s="1342">
        <f t="shared" si="6"/>
        <v>13823116.51</v>
      </c>
      <c r="K16" s="1326" t="str">
        <f t="shared" si="1"/>
        <v xml:space="preserve"> </v>
      </c>
      <c r="L16" s="1326" t="str">
        <f t="shared" si="2"/>
        <v xml:space="preserve"> </v>
      </c>
      <c r="M16" s="1342" t="str">
        <f t="shared" si="3"/>
        <v xml:space="preserve"> </v>
      </c>
      <c r="N16" s="1342" t="str">
        <f t="shared" si="5"/>
        <v xml:space="preserve"> </v>
      </c>
      <c r="P16"/>
    </row>
    <row r="17" spans="3:16">
      <c r="C17" s="1809">
        <v>2821001</v>
      </c>
      <c r="D17" s="1339"/>
      <c r="E17" s="1809">
        <v>6009</v>
      </c>
      <c r="F17"/>
      <c r="G17" s="813" t="s">
        <v>1680</v>
      </c>
      <c r="H17" s="2455">
        <v>-75880982.370000005</v>
      </c>
      <c r="I17" s="1341" t="s">
        <v>158</v>
      </c>
      <c r="J17" s="1342" t="str">
        <f t="shared" si="6"/>
        <v xml:space="preserve"> </v>
      </c>
      <c r="K17" s="1326" t="str">
        <f t="shared" si="1"/>
        <v xml:space="preserve"> </v>
      </c>
      <c r="L17" s="1326">
        <f t="shared" si="2"/>
        <v>-75880982.370000005</v>
      </c>
      <c r="M17" s="1342" t="str">
        <f t="shared" si="3"/>
        <v xml:space="preserve"> </v>
      </c>
      <c r="N17" s="1342" t="str">
        <f t="shared" si="5"/>
        <v xml:space="preserve"> </v>
      </c>
      <c r="P17"/>
    </row>
    <row r="18" spans="3:16">
      <c r="C18" s="1809">
        <v>2821001</v>
      </c>
      <c r="D18" s="1339"/>
      <c r="E18" s="1809">
        <v>6011</v>
      </c>
      <c r="F18"/>
      <c r="G18" s="813" t="s">
        <v>1681</v>
      </c>
      <c r="H18" s="2455">
        <v>85177756.359999999</v>
      </c>
      <c r="I18" s="1341" t="s">
        <v>158</v>
      </c>
      <c r="J18" s="1342" t="str">
        <f t="shared" si="6"/>
        <v xml:space="preserve"> </v>
      </c>
      <c r="K18" s="1326" t="str">
        <f t="shared" si="1"/>
        <v xml:space="preserve"> </v>
      </c>
      <c r="L18" s="1326">
        <f t="shared" si="2"/>
        <v>85177756.359999999</v>
      </c>
      <c r="M18" s="1342" t="str">
        <f t="shared" si="3"/>
        <v xml:space="preserve"> </v>
      </c>
      <c r="N18" s="1342" t="str">
        <f t="shared" si="5"/>
        <v xml:space="preserve"> </v>
      </c>
      <c r="P18"/>
    </row>
    <row r="19" spans="3:16">
      <c r="C19" s="1809">
        <v>2821001</v>
      </c>
      <c r="D19" s="1339"/>
      <c r="E19" s="1809">
        <v>6018</v>
      </c>
      <c r="F19"/>
      <c r="G19" s="813" t="s">
        <v>1682</v>
      </c>
      <c r="H19" s="2455">
        <v>-764424094.13999999</v>
      </c>
      <c r="I19" s="1341" t="s">
        <v>158</v>
      </c>
      <c r="J19" s="2454">
        <v>-4325230.7691219877</v>
      </c>
      <c r="K19" s="1326" t="str">
        <f t="shared" si="1"/>
        <v xml:space="preserve"> </v>
      </c>
      <c r="L19" s="2216">
        <f>H19-J19</f>
        <v>-760098863.37087798</v>
      </c>
      <c r="M19" s="1342" t="str">
        <f t="shared" si="3"/>
        <v xml:space="preserve"> </v>
      </c>
      <c r="N19" s="1342" t="str">
        <f t="shared" si="5"/>
        <v xml:space="preserve"> </v>
      </c>
      <c r="P19"/>
    </row>
    <row r="20" spans="3:16">
      <c r="C20" s="1809">
        <v>2821001</v>
      </c>
      <c r="D20" s="1339" t="s">
        <v>337</v>
      </c>
      <c r="E20" s="1809">
        <v>6021</v>
      </c>
      <c r="F20"/>
      <c r="G20" s="813" t="s">
        <v>1684</v>
      </c>
      <c r="H20" s="2455">
        <v>-10562906.970000001</v>
      </c>
      <c r="I20" s="1341" t="s">
        <v>291</v>
      </c>
      <c r="J20" s="1342">
        <f>IF(I20="e",H20," ")</f>
        <v>-10562906.970000001</v>
      </c>
      <c r="K20" s="1326" t="str">
        <f>IF($I20="T",$H20," ")</f>
        <v xml:space="preserve"> </v>
      </c>
      <c r="L20" s="1326" t="str">
        <f>IF($I20="PTD",$H20," ")</f>
        <v xml:space="preserve"> </v>
      </c>
      <c r="M20" s="1342" t="str">
        <f>IF($I20="T&amp;D",$H20," ")</f>
        <v xml:space="preserve"> </v>
      </c>
      <c r="N20" s="1342" t="str">
        <f>IF(I20="Labor",H20," ")</f>
        <v xml:space="preserve"> </v>
      </c>
      <c r="O20"/>
      <c r="P20"/>
    </row>
    <row r="21" spans="3:16">
      <c r="C21" s="1809">
        <v>2821001</v>
      </c>
      <c r="D21" s="1339" t="s">
        <v>337</v>
      </c>
      <c r="E21" s="1809">
        <v>6022</v>
      </c>
      <c r="F21"/>
      <c r="G21" s="813" t="s">
        <v>1685</v>
      </c>
      <c r="H21" s="2455">
        <v>-8316901.6200000001</v>
      </c>
      <c r="I21" s="1341" t="s">
        <v>158</v>
      </c>
      <c r="J21" s="1342" t="str">
        <f t="shared" si="6"/>
        <v xml:space="preserve"> </v>
      </c>
      <c r="K21" s="1326" t="str">
        <f t="shared" si="1"/>
        <v xml:space="preserve"> </v>
      </c>
      <c r="L21" s="1326">
        <f t="shared" si="2"/>
        <v>-8316901.6200000001</v>
      </c>
      <c r="M21" s="1342" t="str">
        <f t="shared" si="3"/>
        <v xml:space="preserve"> </v>
      </c>
      <c r="N21" s="1342" t="str">
        <f t="shared" si="5"/>
        <v xml:space="preserve"> </v>
      </c>
      <c r="P21"/>
    </row>
    <row r="22" spans="3:16">
      <c r="C22" s="1809">
        <v>2821001</v>
      </c>
      <c r="D22" s="1339" t="s">
        <v>337</v>
      </c>
      <c r="E22" s="1809">
        <v>6024</v>
      </c>
      <c r="F22"/>
      <c r="G22" s="813" t="s">
        <v>1686</v>
      </c>
      <c r="H22" s="2455">
        <v>-185977459.56</v>
      </c>
      <c r="I22" s="1341" t="s">
        <v>158</v>
      </c>
      <c r="J22" s="1342" t="str">
        <f t="shared" si="6"/>
        <v xml:space="preserve"> </v>
      </c>
      <c r="K22" s="1326" t="str">
        <f t="shared" si="1"/>
        <v xml:space="preserve"> </v>
      </c>
      <c r="L22" s="1326">
        <f t="shared" si="2"/>
        <v>-185977459.56</v>
      </c>
      <c r="M22" s="1342" t="str">
        <f t="shared" si="3"/>
        <v xml:space="preserve"> </v>
      </c>
      <c r="N22" s="1342" t="str">
        <f t="shared" si="5"/>
        <v xml:space="preserve"> </v>
      </c>
      <c r="P22"/>
    </row>
    <row r="23" spans="3:16">
      <c r="C23" s="1809">
        <v>2821001</v>
      </c>
      <c r="D23" s="1339" t="s">
        <v>337</v>
      </c>
      <c r="E23" s="1809">
        <v>6026</v>
      </c>
      <c r="F23"/>
      <c r="G23" s="813" t="s">
        <v>1687</v>
      </c>
      <c r="H23" s="2455">
        <v>25971.119999999999</v>
      </c>
      <c r="I23" s="1341" t="s">
        <v>300</v>
      </c>
      <c r="J23" s="1342" t="str">
        <f t="shared" si="6"/>
        <v xml:space="preserve"> </v>
      </c>
      <c r="K23" s="1326" t="str">
        <f t="shared" si="1"/>
        <v xml:space="preserve"> </v>
      </c>
      <c r="L23" s="1326" t="str">
        <f t="shared" si="2"/>
        <v xml:space="preserve"> </v>
      </c>
      <c r="M23" s="1342" t="str">
        <f t="shared" si="3"/>
        <v xml:space="preserve"> </v>
      </c>
      <c r="N23" s="1342">
        <f t="shared" si="5"/>
        <v>25971.119999999999</v>
      </c>
      <c r="P23"/>
    </row>
    <row r="24" spans="3:16">
      <c r="C24" s="1809">
        <v>2821001</v>
      </c>
      <c r="D24" s="1339" t="s">
        <v>337</v>
      </c>
      <c r="E24" s="1809">
        <v>6503</v>
      </c>
      <c r="F24"/>
      <c r="G24" s="813" t="s">
        <v>1688</v>
      </c>
      <c r="H24" s="2455">
        <v>-406291.83</v>
      </c>
      <c r="I24" s="1341" t="s">
        <v>291</v>
      </c>
      <c r="J24" s="1342">
        <f t="shared" si="6"/>
        <v>-406291.83</v>
      </c>
      <c r="K24" s="1326" t="str">
        <f t="shared" si="1"/>
        <v xml:space="preserve"> </v>
      </c>
      <c r="L24" s="1326" t="str">
        <f t="shared" si="2"/>
        <v xml:space="preserve"> </v>
      </c>
      <c r="M24" s="1342" t="str">
        <f t="shared" si="3"/>
        <v xml:space="preserve"> </v>
      </c>
      <c r="N24" s="1342" t="str">
        <f t="shared" si="5"/>
        <v xml:space="preserve"> </v>
      </c>
      <c r="P24"/>
    </row>
    <row r="25" spans="3:16">
      <c r="C25" s="1809">
        <v>2821001</v>
      </c>
      <c r="D25" s="1339" t="s">
        <v>337</v>
      </c>
      <c r="E25" s="1809">
        <v>6506</v>
      </c>
      <c r="F25"/>
      <c r="G25" s="813" t="s">
        <v>1894</v>
      </c>
      <c r="H25" s="2455">
        <v>-12094840</v>
      </c>
      <c r="I25" s="1341"/>
      <c r="J25" s="1342"/>
      <c r="K25" s="1326"/>
      <c r="L25" s="1326"/>
      <c r="M25" s="1342"/>
      <c r="N25" s="1342"/>
      <c r="P25"/>
    </row>
    <row r="26" spans="3:16">
      <c r="C26" s="1809">
        <v>2821001</v>
      </c>
      <c r="D26" s="1339" t="s">
        <v>337</v>
      </c>
      <c r="E26" s="1809">
        <v>6507</v>
      </c>
      <c r="F26"/>
      <c r="G26" s="813" t="s">
        <v>1766</v>
      </c>
      <c r="H26" s="2473">
        <v>0</v>
      </c>
      <c r="I26" s="1341" t="s">
        <v>291</v>
      </c>
      <c r="J26" s="1342">
        <f t="shared" si="6"/>
        <v>0</v>
      </c>
      <c r="K26" s="1326" t="str">
        <f t="shared" si="1"/>
        <v xml:space="preserve"> </v>
      </c>
      <c r="L26" s="1326" t="str">
        <f t="shared" si="2"/>
        <v xml:space="preserve"> </v>
      </c>
      <c r="M26" s="1342" t="str">
        <f t="shared" si="3"/>
        <v xml:space="preserve"> </v>
      </c>
      <c r="N26" s="1342" t="str">
        <f t="shared" si="5"/>
        <v xml:space="preserve"> </v>
      </c>
      <c r="P26"/>
    </row>
    <row r="27" spans="3:16">
      <c r="C27" s="1809">
        <v>2821001</v>
      </c>
      <c r="D27" s="1339" t="s">
        <v>337</v>
      </c>
      <c r="E27" s="1809">
        <v>6508</v>
      </c>
      <c r="F27"/>
      <c r="G27" s="813" t="s">
        <v>1767</v>
      </c>
      <c r="H27" s="2473">
        <v>0</v>
      </c>
      <c r="I27" s="1341" t="s">
        <v>291</v>
      </c>
      <c r="J27" s="1342">
        <f t="shared" si="6"/>
        <v>0</v>
      </c>
      <c r="K27" s="1326" t="str">
        <f t="shared" si="1"/>
        <v xml:space="preserve"> </v>
      </c>
      <c r="L27" s="1326" t="str">
        <f t="shared" si="2"/>
        <v xml:space="preserve"> </v>
      </c>
      <c r="M27" s="1342" t="str">
        <f t="shared" si="3"/>
        <v xml:space="preserve"> </v>
      </c>
      <c r="N27" s="1342" t="str">
        <f t="shared" si="5"/>
        <v xml:space="preserve"> </v>
      </c>
      <c r="P27"/>
    </row>
    <row r="28" spans="3:16">
      <c r="C28" s="1809">
        <v>2821001</v>
      </c>
      <c r="D28" s="1339" t="s">
        <v>337</v>
      </c>
      <c r="E28" s="1809">
        <v>6509</v>
      </c>
      <c r="F28"/>
      <c r="G28" s="813" t="s">
        <v>1768</v>
      </c>
      <c r="H28" s="2473">
        <v>0</v>
      </c>
      <c r="I28" s="1341" t="s">
        <v>291</v>
      </c>
      <c r="J28" s="1342">
        <f t="shared" si="6"/>
        <v>0</v>
      </c>
      <c r="K28" s="1326" t="str">
        <f t="shared" si="1"/>
        <v xml:space="preserve"> </v>
      </c>
      <c r="L28" s="1326" t="str">
        <f t="shared" si="2"/>
        <v xml:space="preserve"> </v>
      </c>
      <c r="M28" s="1342" t="str">
        <f t="shared" si="3"/>
        <v xml:space="preserve"> </v>
      </c>
      <c r="N28" s="1342" t="str">
        <f t="shared" si="5"/>
        <v xml:space="preserve"> </v>
      </c>
      <c r="P28"/>
    </row>
    <row r="29" spans="3:16">
      <c r="C29" s="1809">
        <v>2821001</v>
      </c>
      <c r="D29" s="1339" t="s">
        <v>337</v>
      </c>
      <c r="E29" s="1809">
        <v>6510</v>
      </c>
      <c r="F29"/>
      <c r="G29" s="813" t="s">
        <v>1769</v>
      </c>
      <c r="H29" s="2473">
        <v>0</v>
      </c>
      <c r="I29" s="1341" t="s">
        <v>291</v>
      </c>
      <c r="J29" s="1342">
        <f t="shared" si="6"/>
        <v>0</v>
      </c>
      <c r="K29" s="1326" t="str">
        <f t="shared" si="1"/>
        <v xml:space="preserve"> </v>
      </c>
      <c r="L29" s="1326" t="str">
        <f t="shared" si="2"/>
        <v xml:space="preserve"> </v>
      </c>
      <c r="M29" s="1342" t="str">
        <f t="shared" si="3"/>
        <v xml:space="preserve"> </v>
      </c>
      <c r="N29" s="1342" t="str">
        <f t="shared" si="5"/>
        <v xml:space="preserve"> </v>
      </c>
      <c r="P29"/>
    </row>
    <row r="30" spans="3:16">
      <c r="C30" s="1809">
        <v>2821001</v>
      </c>
      <c r="D30" s="1339" t="s">
        <v>337</v>
      </c>
      <c r="E30" s="1809">
        <v>6511</v>
      </c>
      <c r="F30"/>
      <c r="G30" s="813" t="s">
        <v>1770</v>
      </c>
      <c r="H30" s="2473">
        <v>0</v>
      </c>
      <c r="I30" s="1341" t="s">
        <v>291</v>
      </c>
      <c r="J30" s="1342">
        <f t="shared" si="6"/>
        <v>0</v>
      </c>
      <c r="K30" s="1326" t="str">
        <f t="shared" si="1"/>
        <v xml:space="preserve"> </v>
      </c>
      <c r="L30" s="1326" t="str">
        <f t="shared" si="2"/>
        <v xml:space="preserve"> </v>
      </c>
      <c r="M30" s="1342" t="str">
        <f t="shared" si="3"/>
        <v xml:space="preserve"> </v>
      </c>
      <c r="N30" s="1342" t="str">
        <f t="shared" si="5"/>
        <v xml:space="preserve"> </v>
      </c>
      <c r="P30"/>
    </row>
    <row r="31" spans="3:16">
      <c r="C31" s="1809">
        <v>2821001</v>
      </c>
      <c r="D31" s="1339"/>
      <c r="E31" s="1809">
        <v>6512</v>
      </c>
      <c r="F31"/>
      <c r="G31" s="813" t="s">
        <v>1771</v>
      </c>
      <c r="H31" s="2473">
        <v>0</v>
      </c>
      <c r="I31" s="1341" t="s">
        <v>291</v>
      </c>
      <c r="J31" s="1342">
        <f t="shared" si="6"/>
        <v>0</v>
      </c>
      <c r="K31" s="1326" t="str">
        <f t="shared" si="1"/>
        <v xml:space="preserve"> </v>
      </c>
      <c r="L31" s="1326" t="str">
        <f t="shared" si="2"/>
        <v xml:space="preserve"> </v>
      </c>
      <c r="M31" s="1342" t="str">
        <f t="shared" si="3"/>
        <v xml:space="preserve"> </v>
      </c>
      <c r="N31" s="1342" t="str">
        <f t="shared" si="5"/>
        <v xml:space="preserve"> </v>
      </c>
      <c r="P31"/>
    </row>
    <row r="32" spans="3:16">
      <c r="C32" s="1809">
        <v>2821001</v>
      </c>
      <c r="D32" s="1339" t="s">
        <v>337</v>
      </c>
      <c r="E32" s="1809">
        <v>6513</v>
      </c>
      <c r="F32"/>
      <c r="G32" s="813" t="s">
        <v>1772</v>
      </c>
      <c r="H32" s="2473">
        <v>0</v>
      </c>
      <c r="I32" s="1341" t="s">
        <v>291</v>
      </c>
      <c r="J32" s="1342">
        <f t="shared" si="6"/>
        <v>0</v>
      </c>
      <c r="K32" s="1326" t="str">
        <f t="shared" si="1"/>
        <v xml:space="preserve"> </v>
      </c>
      <c r="L32" s="1326" t="str">
        <f t="shared" si="2"/>
        <v xml:space="preserve"> </v>
      </c>
      <c r="M32" s="1342" t="str">
        <f t="shared" si="3"/>
        <v xml:space="preserve"> </v>
      </c>
      <c r="N32" s="1342" t="str">
        <f t="shared" si="5"/>
        <v xml:space="preserve"> </v>
      </c>
      <c r="P32"/>
    </row>
    <row r="33" spans="3:17">
      <c r="C33" s="1809">
        <v>2821001</v>
      </c>
      <c r="D33" s="1339" t="s">
        <v>337</v>
      </c>
      <c r="E33" s="1809">
        <v>6514</v>
      </c>
      <c r="F33"/>
      <c r="G33" s="813" t="s">
        <v>1773</v>
      </c>
      <c r="H33" s="2473">
        <v>0</v>
      </c>
      <c r="I33" s="1341" t="s">
        <v>291</v>
      </c>
      <c r="J33" s="1342">
        <f t="shared" si="6"/>
        <v>0</v>
      </c>
      <c r="K33" s="1326" t="str">
        <f t="shared" si="1"/>
        <v xml:space="preserve"> </v>
      </c>
      <c r="L33" s="1326" t="str">
        <f t="shared" si="2"/>
        <v xml:space="preserve"> </v>
      </c>
      <c r="M33" s="1342" t="str">
        <f t="shared" si="3"/>
        <v xml:space="preserve"> </v>
      </c>
      <c r="N33" s="1342" t="str">
        <f t="shared" si="5"/>
        <v xml:space="preserve"> </v>
      </c>
      <c r="P33"/>
    </row>
    <row r="34" spans="3:17">
      <c r="C34" s="1809">
        <v>2821001</v>
      </c>
      <c r="D34" s="1339" t="s">
        <v>337</v>
      </c>
      <c r="E34" s="1809">
        <v>6515</v>
      </c>
      <c r="F34"/>
      <c r="G34" s="813" t="s">
        <v>1774</v>
      </c>
      <c r="H34" s="2473">
        <v>0</v>
      </c>
      <c r="I34" s="1341" t="s">
        <v>291</v>
      </c>
      <c r="J34" s="1342">
        <f t="shared" si="6"/>
        <v>0</v>
      </c>
      <c r="K34" s="1326" t="str">
        <f t="shared" si="1"/>
        <v xml:space="preserve"> </v>
      </c>
      <c r="L34" s="1326" t="str">
        <f t="shared" si="2"/>
        <v xml:space="preserve"> </v>
      </c>
      <c r="M34" s="1342" t="str">
        <f t="shared" si="3"/>
        <v xml:space="preserve"> </v>
      </c>
      <c r="N34" s="1342" t="str">
        <f t="shared" si="5"/>
        <v xml:space="preserve"> </v>
      </c>
      <c r="P34"/>
    </row>
    <row r="35" spans="3:17">
      <c r="C35" s="1809">
        <v>2821001</v>
      </c>
      <c r="D35" s="1339" t="s">
        <v>337</v>
      </c>
      <c r="E35" s="1809">
        <v>6516</v>
      </c>
      <c r="F35"/>
      <c r="G35" s="813" t="s">
        <v>1775</v>
      </c>
      <c r="H35" s="2473">
        <v>0</v>
      </c>
      <c r="I35" s="1341" t="s">
        <v>291</v>
      </c>
      <c r="J35" s="1342">
        <f t="shared" si="6"/>
        <v>0</v>
      </c>
      <c r="K35" s="1326" t="str">
        <f t="shared" si="1"/>
        <v xml:space="preserve"> </v>
      </c>
      <c r="L35" s="1326" t="str">
        <f t="shared" si="2"/>
        <v xml:space="preserve"> </v>
      </c>
      <c r="M35" s="1342" t="str">
        <f t="shared" si="3"/>
        <v xml:space="preserve"> </v>
      </c>
      <c r="N35" s="1342" t="str">
        <f t="shared" si="5"/>
        <v xml:space="preserve"> </v>
      </c>
      <c r="P35"/>
    </row>
    <row r="36" spans="3:17">
      <c r="C36" s="1809">
        <v>2821001</v>
      </c>
      <c r="D36" s="1339" t="s">
        <v>337</v>
      </c>
      <c r="E36" s="1809">
        <v>6517</v>
      </c>
      <c r="F36"/>
      <c r="G36" s="813" t="s">
        <v>1776</v>
      </c>
      <c r="H36" s="2473">
        <v>0</v>
      </c>
      <c r="I36" s="1341" t="s">
        <v>291</v>
      </c>
      <c r="J36" s="1342">
        <f t="shared" si="6"/>
        <v>0</v>
      </c>
      <c r="K36" s="1326" t="str">
        <f t="shared" si="1"/>
        <v xml:space="preserve"> </v>
      </c>
      <c r="L36" s="1326" t="str">
        <f t="shared" si="2"/>
        <v xml:space="preserve"> </v>
      </c>
      <c r="M36" s="1342" t="str">
        <f t="shared" si="3"/>
        <v xml:space="preserve"> </v>
      </c>
      <c r="N36" s="1342" t="str">
        <f t="shared" si="5"/>
        <v xml:space="preserve"> </v>
      </c>
      <c r="P36"/>
    </row>
    <row r="37" spans="3:17">
      <c r="C37" s="1809">
        <v>2821001</v>
      </c>
      <c r="D37" s="1339" t="s">
        <v>337</v>
      </c>
      <c r="E37" s="1809">
        <v>6518</v>
      </c>
      <c r="F37"/>
      <c r="G37" s="813" t="s">
        <v>1777</v>
      </c>
      <c r="H37" s="2473">
        <v>0</v>
      </c>
      <c r="I37" s="1341" t="s">
        <v>291</v>
      </c>
      <c r="J37" s="1342">
        <f t="shared" si="6"/>
        <v>0</v>
      </c>
      <c r="K37" s="1326" t="str">
        <f t="shared" si="1"/>
        <v xml:space="preserve"> </v>
      </c>
      <c r="L37" s="1326" t="str">
        <f t="shared" si="2"/>
        <v xml:space="preserve"> </v>
      </c>
      <c r="M37" s="1342" t="str">
        <f t="shared" si="3"/>
        <v xml:space="preserve"> </v>
      </c>
      <c r="N37" s="1342" t="str">
        <f t="shared" si="5"/>
        <v xml:space="preserve"> </v>
      </c>
      <c r="P37"/>
    </row>
    <row r="38" spans="3:17">
      <c r="C38" s="1809">
        <v>2821001</v>
      </c>
      <c r="D38" s="1339" t="s">
        <v>337</v>
      </c>
      <c r="E38" s="1809">
        <v>6519</v>
      </c>
      <c r="F38"/>
      <c r="G38" s="813" t="s">
        <v>1778</v>
      </c>
      <c r="H38" s="2473">
        <v>0</v>
      </c>
      <c r="I38" s="1341" t="s">
        <v>291</v>
      </c>
      <c r="J38" s="1342">
        <f t="shared" si="6"/>
        <v>0</v>
      </c>
      <c r="K38" s="1326" t="str">
        <f t="shared" si="1"/>
        <v xml:space="preserve"> </v>
      </c>
      <c r="L38" s="1326" t="str">
        <f t="shared" si="2"/>
        <v xml:space="preserve"> </v>
      </c>
      <c r="M38" s="1342" t="str">
        <f t="shared" si="3"/>
        <v xml:space="preserve"> </v>
      </c>
      <c r="N38" s="1342" t="str">
        <f t="shared" si="5"/>
        <v xml:space="preserve"> </v>
      </c>
      <c r="P38"/>
    </row>
    <row r="39" spans="3:17">
      <c r="C39" s="1809">
        <v>2821001</v>
      </c>
      <c r="D39" s="1339" t="s">
        <v>337</v>
      </c>
      <c r="E39" s="1809">
        <v>6520</v>
      </c>
      <c r="F39"/>
      <c r="G39" s="813" t="s">
        <v>1779</v>
      </c>
      <c r="H39" s="2473">
        <v>0</v>
      </c>
      <c r="I39" s="1341" t="s">
        <v>291</v>
      </c>
      <c r="J39" s="1342">
        <f t="shared" si="6"/>
        <v>0</v>
      </c>
      <c r="K39" s="1326" t="str">
        <f t="shared" si="1"/>
        <v xml:space="preserve"> </v>
      </c>
      <c r="L39" s="1326" t="str">
        <f t="shared" si="2"/>
        <v xml:space="preserve"> </v>
      </c>
      <c r="M39" s="1342" t="str">
        <f t="shared" si="3"/>
        <v xml:space="preserve"> </v>
      </c>
      <c r="N39" s="1342" t="str">
        <f t="shared" si="5"/>
        <v xml:space="preserve"> </v>
      </c>
      <c r="P39"/>
    </row>
    <row r="40" spans="3:17">
      <c r="C40" s="1809">
        <v>2821001</v>
      </c>
      <c r="D40" s="1339"/>
      <c r="E40" s="1809">
        <v>6521</v>
      </c>
      <c r="F40"/>
      <c r="G40" s="813" t="s">
        <v>1780</v>
      </c>
      <c r="H40" s="2473">
        <v>0</v>
      </c>
      <c r="I40" s="1341" t="s">
        <v>291</v>
      </c>
      <c r="J40" s="1342">
        <f t="shared" si="6"/>
        <v>0</v>
      </c>
      <c r="K40" s="1326" t="str">
        <f t="shared" si="1"/>
        <v xml:space="preserve"> </v>
      </c>
      <c r="L40" s="1326" t="str">
        <f t="shared" si="2"/>
        <v xml:space="preserve"> </v>
      </c>
      <c r="M40" s="1342" t="str">
        <f t="shared" si="3"/>
        <v xml:space="preserve"> </v>
      </c>
      <c r="N40" s="1342" t="str">
        <f t="shared" si="5"/>
        <v xml:space="preserve"> </v>
      </c>
      <c r="P40"/>
    </row>
    <row r="41" spans="3:17">
      <c r="C41" s="1809">
        <v>2821001</v>
      </c>
      <c r="D41" s="1339"/>
      <c r="E41" s="1809">
        <v>6523</v>
      </c>
      <c r="F41"/>
      <c r="G41" s="813" t="s">
        <v>1689</v>
      </c>
      <c r="H41" s="2455">
        <v>9699176.3399999999</v>
      </c>
      <c r="I41" s="1341" t="s">
        <v>300</v>
      </c>
      <c r="J41" s="1342" t="str">
        <f t="shared" si="6"/>
        <v xml:space="preserve"> </v>
      </c>
      <c r="K41" s="1326" t="str">
        <f t="shared" si="1"/>
        <v xml:space="preserve"> </v>
      </c>
      <c r="L41" s="1326" t="str">
        <f t="shared" si="2"/>
        <v xml:space="preserve"> </v>
      </c>
      <c r="M41" s="1342" t="str">
        <f t="shared" si="3"/>
        <v xml:space="preserve"> </v>
      </c>
      <c r="N41" s="1342">
        <f t="shared" si="5"/>
        <v>9699176.3399999999</v>
      </c>
      <c r="P41"/>
    </row>
    <row r="42" spans="3:17">
      <c r="C42" s="1809">
        <v>2821001</v>
      </c>
      <c r="D42" s="1339" t="s">
        <v>337</v>
      </c>
      <c r="E42" s="1809">
        <v>7585</v>
      </c>
      <c r="F42"/>
      <c r="G42" s="813" t="s">
        <v>1690</v>
      </c>
      <c r="H42" s="2455">
        <v>-26382159.809999999</v>
      </c>
      <c r="I42" s="1341" t="s">
        <v>291</v>
      </c>
      <c r="J42" s="1342">
        <f t="shared" si="6"/>
        <v>-26382159.809999999</v>
      </c>
      <c r="K42" s="1326" t="str">
        <f t="shared" si="1"/>
        <v xml:space="preserve"> </v>
      </c>
      <c r="L42" s="1326" t="str">
        <f t="shared" si="2"/>
        <v xml:space="preserve"> </v>
      </c>
      <c r="M42" s="1342" t="str">
        <f t="shared" si="3"/>
        <v xml:space="preserve"> </v>
      </c>
      <c r="N42" s="1342" t="str">
        <f t="shared" si="5"/>
        <v xml:space="preserve"> </v>
      </c>
      <c r="P42"/>
    </row>
    <row r="43" spans="3:17">
      <c r="C43" s="1809">
        <v>2821001</v>
      </c>
      <c r="D43" s="1339" t="s">
        <v>337</v>
      </c>
      <c r="E43" s="1809">
        <v>8004</v>
      </c>
      <c r="F43"/>
      <c r="G43" s="813" t="s">
        <v>1691</v>
      </c>
      <c r="H43" s="2455">
        <v>-0.21</v>
      </c>
      <c r="I43" s="1341" t="s">
        <v>158</v>
      </c>
      <c r="J43" s="1342" t="str">
        <f t="shared" si="6"/>
        <v xml:space="preserve"> </v>
      </c>
      <c r="K43" s="1326" t="str">
        <f t="shared" si="1"/>
        <v xml:space="preserve"> </v>
      </c>
      <c r="L43" s="1326">
        <f t="shared" si="2"/>
        <v>-0.21</v>
      </c>
      <c r="M43" s="1342" t="str">
        <f t="shared" si="3"/>
        <v xml:space="preserve"> </v>
      </c>
      <c r="N43" s="1342" t="str">
        <f t="shared" si="5"/>
        <v xml:space="preserve"> </v>
      </c>
      <c r="P43"/>
    </row>
    <row r="44" spans="3:17">
      <c r="C44" s="1809">
        <v>2821001</v>
      </c>
      <c r="D44" s="1339"/>
      <c r="E44" s="1341" t="s">
        <v>1269</v>
      </c>
      <c r="F44"/>
      <c r="G44" s="813" t="s">
        <v>1285</v>
      </c>
      <c r="H44" s="779">
        <v>167972274.24343827</v>
      </c>
      <c r="I44" s="1341" t="s">
        <v>1286</v>
      </c>
      <c r="J44" s="1340">
        <f>H44-K44</f>
        <v>134703384.13833666</v>
      </c>
      <c r="K44" s="2455">
        <v>33268890.105101611</v>
      </c>
      <c r="L44" s="1326"/>
      <c r="M44" s="1342"/>
      <c r="N44" s="1342"/>
      <c r="P44"/>
    </row>
    <row r="45" spans="3:17" ht="13">
      <c r="C45" s="1809">
        <v>2821001</v>
      </c>
      <c r="D45" s="1339"/>
      <c r="E45" s="1341" t="s">
        <v>1269</v>
      </c>
      <c r="F45"/>
      <c r="G45" s="813" t="s">
        <v>1285</v>
      </c>
      <c r="H45" s="779">
        <f>-H44</f>
        <v>-167972274.24343827</v>
      </c>
      <c r="I45" s="780" t="s">
        <v>291</v>
      </c>
      <c r="J45" s="1342">
        <f t="shared" ref="J45" si="7">IF(I45="e",H45," ")</f>
        <v>-167972274.24343827</v>
      </c>
      <c r="K45" s="1326" t="str">
        <f t="shared" si="1"/>
        <v xml:space="preserve"> </v>
      </c>
      <c r="L45" s="1326" t="str">
        <f t="shared" si="2"/>
        <v xml:space="preserve"> </v>
      </c>
      <c r="M45" s="1342" t="str">
        <f t="shared" si="3"/>
        <v xml:space="preserve"> </v>
      </c>
      <c r="N45" s="1342" t="str">
        <f t="shared" ref="N45" si="8">IF(I45="Labor",H45," ")</f>
        <v xml:space="preserve"> </v>
      </c>
      <c r="O45" s="782"/>
      <c r="P45"/>
    </row>
    <row r="46" spans="3:17" ht="13">
      <c r="C46" s="33">
        <v>282.10000000000002</v>
      </c>
      <c r="D46" s="286"/>
      <c r="G46" s="561" t="s">
        <v>159</v>
      </c>
      <c r="H46" s="790">
        <f>SUM(H10:H45)</f>
        <v>-1484914275.75</v>
      </c>
      <c r="I46" s="1326"/>
      <c r="J46" s="790">
        <f>SUM(J10:J45)</f>
        <v>-423420816.86626756</v>
      </c>
      <c r="K46" s="790">
        <f>SUM(K10:K45)</f>
        <v>-48639883.302854583</v>
      </c>
      <c r="L46" s="790">
        <f>SUM(L10:L45)</f>
        <v>-1010483883.0408781</v>
      </c>
      <c r="M46" s="790">
        <f>SUM(M10:M45)</f>
        <v>0</v>
      </c>
      <c r="N46" s="790">
        <f>SUM(N10:N45)</f>
        <v>9725147.459999999</v>
      </c>
      <c r="O46"/>
      <c r="P46" s="1326">
        <f>SUM(J46:O46)</f>
        <v>-1472819435.7500002</v>
      </c>
      <c r="Q46" s="1326"/>
    </row>
    <row r="47" spans="3:17" ht="25">
      <c r="G47" s="1346" t="s">
        <v>169</v>
      </c>
      <c r="H47" s="1340">
        <v>-1484914277</v>
      </c>
      <c r="I47" s="466"/>
      <c r="J47" s="1347"/>
      <c r="K47" s="1326"/>
      <c r="L47" s="1326"/>
      <c r="M47" s="1326"/>
      <c r="N47" s="1326"/>
    </row>
    <row r="48" spans="3:17">
      <c r="H48" s="1348"/>
      <c r="I48" s="1326"/>
      <c r="J48" s="1326"/>
      <c r="K48" s="1326"/>
      <c r="L48" s="1326"/>
      <c r="M48" s="1326"/>
      <c r="N48" s="1326"/>
    </row>
    <row r="49" spans="3:14">
      <c r="H49" s="1348"/>
      <c r="I49" s="1326"/>
      <c r="J49" s="1326"/>
      <c r="K49" s="1326"/>
      <c r="L49" s="1326"/>
      <c r="M49" s="1326"/>
      <c r="N49" s="1326"/>
    </row>
    <row r="50" spans="3:14">
      <c r="C50" s="1806">
        <v>2831001</v>
      </c>
      <c r="D50" s="1349" t="s">
        <v>337</v>
      </c>
      <c r="E50" s="1806">
        <v>2007</v>
      </c>
      <c r="F50"/>
      <c r="G50" s="777" t="s">
        <v>1694</v>
      </c>
      <c r="H50" s="779">
        <v>263956</v>
      </c>
      <c r="I50" s="780" t="s">
        <v>291</v>
      </c>
      <c r="J50" s="1342">
        <f t="shared" ref="J50" si="9">IF(I50="e",H50," ")</f>
        <v>263956</v>
      </c>
      <c r="K50" s="1326" t="str">
        <f t="shared" ref="K50:K118" si="10">IF($I50="T",$H50," ")</f>
        <v xml:space="preserve"> </v>
      </c>
      <c r="L50" s="1326" t="str">
        <f t="shared" ref="L50:L118" si="11">IF($I50="PTD",$H50," ")</f>
        <v xml:space="preserve"> </v>
      </c>
      <c r="M50" s="1342" t="str">
        <f t="shared" ref="M50:M118" si="12">IF($I50="T&amp;D",$H50," ")</f>
        <v xml:space="preserve"> </v>
      </c>
      <c r="N50" s="1342" t="str">
        <f t="shared" ref="N50" si="13">IF(I50="Labor",H50," ")</f>
        <v xml:space="preserve"> </v>
      </c>
    </row>
    <row r="51" spans="3:14">
      <c r="C51" s="1806">
        <v>2831001</v>
      </c>
      <c r="D51" s="1349" t="s">
        <v>337</v>
      </c>
      <c r="E51" s="1806">
        <v>2012</v>
      </c>
      <c r="F51"/>
      <c r="G51" s="777" t="s">
        <v>1696</v>
      </c>
      <c r="H51" s="779">
        <v>2078035.61</v>
      </c>
      <c r="I51" s="780" t="s">
        <v>1529</v>
      </c>
      <c r="J51" s="1342">
        <f>'SWEPCO WS C-4 Excess FIT'!G26</f>
        <v>2078035.61</v>
      </c>
      <c r="K51" s="1326">
        <f>'SWEPCO WS C-4 Excess FIT'!G25</f>
        <v>0</v>
      </c>
      <c r="L51" s="1326" t="str">
        <f t="shared" si="11"/>
        <v xml:space="preserve"> </v>
      </c>
      <c r="M51" s="1342" t="str">
        <f t="shared" si="12"/>
        <v xml:space="preserve"> </v>
      </c>
      <c r="N51" s="1342" t="str">
        <f t="shared" ref="N51:N119" si="14">IF(I51="Labor",H51," ")</f>
        <v xml:space="preserve"> </v>
      </c>
    </row>
    <row r="52" spans="3:14">
      <c r="C52" s="1806">
        <v>2831001</v>
      </c>
      <c r="D52" s="1349" t="s">
        <v>337</v>
      </c>
      <c r="E52" s="1806">
        <v>3511</v>
      </c>
      <c r="F52"/>
      <c r="G52" s="777" t="s">
        <v>1781</v>
      </c>
      <c r="H52" s="779">
        <v>474490.59</v>
      </c>
      <c r="I52" s="780" t="s">
        <v>291</v>
      </c>
      <c r="J52" s="1342">
        <f t="shared" ref="J52:J119" si="15">IF(I52="e",H52," ")</f>
        <v>474490.59</v>
      </c>
      <c r="K52" s="1326" t="str">
        <f t="shared" si="10"/>
        <v xml:space="preserve"> </v>
      </c>
      <c r="L52" s="1326" t="str">
        <f t="shared" si="11"/>
        <v xml:space="preserve"> </v>
      </c>
      <c r="M52" s="1342" t="str">
        <f t="shared" si="12"/>
        <v xml:space="preserve"> </v>
      </c>
      <c r="N52" s="1342" t="str">
        <f t="shared" si="14"/>
        <v xml:space="preserve"> </v>
      </c>
    </row>
    <row r="53" spans="3:14">
      <c r="C53" s="1806">
        <v>2831001</v>
      </c>
      <c r="D53" s="1349" t="s">
        <v>337</v>
      </c>
      <c r="E53" s="1806">
        <v>4004</v>
      </c>
      <c r="F53"/>
      <c r="G53" s="777" t="s">
        <v>1782</v>
      </c>
      <c r="H53" s="779">
        <v>-2925896.04</v>
      </c>
      <c r="I53" s="780" t="s">
        <v>291</v>
      </c>
      <c r="J53" s="1342">
        <f t="shared" si="15"/>
        <v>-2925896.04</v>
      </c>
      <c r="K53" s="1326" t="str">
        <f t="shared" si="10"/>
        <v xml:space="preserve"> </v>
      </c>
      <c r="L53" s="1326" t="str">
        <f t="shared" si="11"/>
        <v xml:space="preserve"> </v>
      </c>
      <c r="M53" s="1342" t="str">
        <f t="shared" si="12"/>
        <v xml:space="preserve"> </v>
      </c>
      <c r="N53" s="1342" t="str">
        <f t="shared" si="14"/>
        <v xml:space="preserve"> </v>
      </c>
    </row>
    <row r="54" spans="3:14">
      <c r="C54" s="1806">
        <v>2831001</v>
      </c>
      <c r="D54" s="1349" t="s">
        <v>337</v>
      </c>
      <c r="E54" s="1806">
        <v>4018</v>
      </c>
      <c r="F54"/>
      <c r="G54" s="777" t="s">
        <v>1783</v>
      </c>
      <c r="H54" s="779">
        <v>-9612906.0099999998</v>
      </c>
      <c r="I54" s="780" t="s">
        <v>291</v>
      </c>
      <c r="J54" s="1342">
        <f t="shared" si="15"/>
        <v>-9612906.0099999998</v>
      </c>
      <c r="K54" s="1326" t="str">
        <f t="shared" si="10"/>
        <v xml:space="preserve"> </v>
      </c>
      <c r="L54" s="1326" t="str">
        <f t="shared" si="11"/>
        <v xml:space="preserve"> </v>
      </c>
      <c r="M54" s="1342" t="str">
        <f t="shared" si="12"/>
        <v xml:space="preserve"> </v>
      </c>
      <c r="N54" s="1342" t="str">
        <f t="shared" si="14"/>
        <v xml:space="preserve"> </v>
      </c>
    </row>
    <row r="55" spans="3:14">
      <c r="C55" s="1806">
        <v>2831001</v>
      </c>
      <c r="D55" s="1349"/>
      <c r="E55" s="1806">
        <v>4031</v>
      </c>
      <c r="F55"/>
      <c r="G55" s="777" t="s">
        <v>1698</v>
      </c>
      <c r="H55" s="779">
        <v>-83854.080000000002</v>
      </c>
      <c r="I55" s="780" t="s">
        <v>291</v>
      </c>
      <c r="J55" s="1342">
        <f t="shared" si="15"/>
        <v>-83854.080000000002</v>
      </c>
      <c r="K55" s="1326" t="str">
        <f t="shared" si="10"/>
        <v xml:space="preserve"> </v>
      </c>
      <c r="L55" s="1326" t="str">
        <f t="shared" si="11"/>
        <v xml:space="preserve"> </v>
      </c>
      <c r="M55" s="1342" t="str">
        <f t="shared" si="12"/>
        <v xml:space="preserve"> </v>
      </c>
      <c r="N55" s="1342" t="str">
        <f t="shared" si="14"/>
        <v xml:space="preserve"> </v>
      </c>
    </row>
    <row r="56" spans="3:14">
      <c r="C56" s="1806">
        <v>2831001</v>
      </c>
      <c r="D56" s="1349"/>
      <c r="E56" s="1806">
        <v>6018</v>
      </c>
      <c r="F56"/>
      <c r="G56" s="777" t="s">
        <v>1682</v>
      </c>
      <c r="H56" s="779">
        <v>746293.17</v>
      </c>
      <c r="I56" s="780" t="s">
        <v>158</v>
      </c>
      <c r="J56" s="1342" t="str">
        <f t="shared" si="15"/>
        <v xml:space="preserve"> </v>
      </c>
      <c r="K56" s="1326" t="str">
        <f t="shared" si="10"/>
        <v xml:space="preserve"> </v>
      </c>
      <c r="L56" s="1326">
        <f t="shared" si="11"/>
        <v>746293.17</v>
      </c>
      <c r="M56" s="1342" t="str">
        <f t="shared" si="12"/>
        <v xml:space="preserve"> </v>
      </c>
      <c r="N56" s="1342" t="str">
        <f t="shared" si="14"/>
        <v xml:space="preserve"> </v>
      </c>
    </row>
    <row r="57" spans="3:14">
      <c r="C57" s="1806">
        <v>2831001</v>
      </c>
      <c r="D57" s="1349"/>
      <c r="E57" s="1806">
        <v>7026</v>
      </c>
      <c r="F57"/>
      <c r="G57" s="777" t="s">
        <v>1699</v>
      </c>
      <c r="H57" s="779">
        <v>3208837.08</v>
      </c>
      <c r="I57" s="780" t="s">
        <v>291</v>
      </c>
      <c r="J57" s="1342">
        <f t="shared" si="15"/>
        <v>3208837.08</v>
      </c>
      <c r="K57" s="1326" t="str">
        <f t="shared" si="10"/>
        <v xml:space="preserve"> </v>
      </c>
      <c r="L57" s="1326" t="str">
        <f t="shared" si="11"/>
        <v xml:space="preserve"> </v>
      </c>
      <c r="M57" s="1342" t="str">
        <f t="shared" si="12"/>
        <v xml:space="preserve"> </v>
      </c>
      <c r="N57" s="1342" t="str">
        <f t="shared" si="14"/>
        <v xml:space="preserve"> </v>
      </c>
    </row>
    <row r="58" spans="3:14">
      <c r="C58" s="1806">
        <v>2831001</v>
      </c>
      <c r="D58" s="1349" t="s">
        <v>337</v>
      </c>
      <c r="E58" s="1806">
        <v>7028</v>
      </c>
      <c r="F58"/>
      <c r="G58" s="777" t="s">
        <v>1784</v>
      </c>
      <c r="H58" s="779">
        <v>-11209029.1</v>
      </c>
      <c r="I58" s="780" t="s">
        <v>158</v>
      </c>
      <c r="J58" s="1342" t="str">
        <f t="shared" ref="J58" si="16">IF(I58="e",H58," ")</f>
        <v xml:space="preserve"> </v>
      </c>
      <c r="K58" s="1326" t="str">
        <f t="shared" si="10"/>
        <v xml:space="preserve"> </v>
      </c>
      <c r="L58" s="1326">
        <f t="shared" si="11"/>
        <v>-11209029.1</v>
      </c>
      <c r="M58" s="1342" t="str">
        <f t="shared" si="12"/>
        <v xml:space="preserve"> </v>
      </c>
      <c r="N58" s="1342" t="str">
        <f t="shared" ref="N58" si="17">IF(I58="Labor",H58," ")</f>
        <v xml:space="preserve"> </v>
      </c>
    </row>
    <row r="59" spans="3:14">
      <c r="C59" s="1806">
        <v>2831001</v>
      </c>
      <c r="D59" s="1349" t="s">
        <v>337</v>
      </c>
      <c r="E59" s="1806">
        <v>7032</v>
      </c>
      <c r="F59"/>
      <c r="G59" s="777" t="s">
        <v>1700</v>
      </c>
      <c r="H59" s="779">
        <v>-11437822.109999999</v>
      </c>
      <c r="I59" s="780" t="s">
        <v>300</v>
      </c>
      <c r="J59" s="1342" t="str">
        <f t="shared" si="15"/>
        <v xml:space="preserve"> </v>
      </c>
      <c r="K59" s="1326" t="str">
        <f t="shared" si="10"/>
        <v xml:space="preserve"> </v>
      </c>
      <c r="L59" s="1326" t="str">
        <f t="shared" si="11"/>
        <v xml:space="preserve"> </v>
      </c>
      <c r="M59" s="1342" t="str">
        <f t="shared" si="12"/>
        <v xml:space="preserve"> </v>
      </c>
      <c r="N59" s="1342">
        <f t="shared" si="14"/>
        <v>-11437822.109999999</v>
      </c>
    </row>
    <row r="60" spans="3:14">
      <c r="C60" s="1806">
        <v>2831001</v>
      </c>
      <c r="D60" s="1349" t="s">
        <v>337</v>
      </c>
      <c r="E60" s="1806">
        <v>7033</v>
      </c>
      <c r="F60"/>
      <c r="G60" s="777" t="s">
        <v>1701</v>
      </c>
      <c r="H60" s="779">
        <v>18710899.739999998</v>
      </c>
      <c r="I60" s="780" t="s">
        <v>291</v>
      </c>
      <c r="J60" s="1342">
        <f t="shared" si="15"/>
        <v>18710899.739999998</v>
      </c>
      <c r="K60" s="1326" t="str">
        <f t="shared" si="10"/>
        <v xml:space="preserve"> </v>
      </c>
      <c r="L60" s="1326" t="str">
        <f t="shared" si="11"/>
        <v xml:space="preserve"> </v>
      </c>
      <c r="M60" s="1342" t="str">
        <f t="shared" si="12"/>
        <v xml:space="preserve"> </v>
      </c>
      <c r="N60" s="1342" t="str">
        <f t="shared" si="14"/>
        <v xml:space="preserve"> </v>
      </c>
    </row>
    <row r="61" spans="3:14">
      <c r="C61" s="1806">
        <v>2831001</v>
      </c>
      <c r="D61" s="1349" t="s">
        <v>337</v>
      </c>
      <c r="E61" s="1806">
        <v>7081</v>
      </c>
      <c r="F61"/>
      <c r="G61" s="777" t="s">
        <v>1785</v>
      </c>
      <c r="H61" s="779">
        <v>0.63</v>
      </c>
      <c r="I61" s="780" t="s">
        <v>291</v>
      </c>
      <c r="J61" s="1342">
        <f t="shared" si="15"/>
        <v>0.63</v>
      </c>
      <c r="K61" s="1326" t="str">
        <f t="shared" si="10"/>
        <v xml:space="preserve"> </v>
      </c>
      <c r="L61" s="1326" t="str">
        <f t="shared" si="11"/>
        <v xml:space="preserve"> </v>
      </c>
      <c r="M61" s="1342" t="str">
        <f t="shared" si="12"/>
        <v xml:space="preserve"> </v>
      </c>
      <c r="N61" s="1342" t="str">
        <f t="shared" si="14"/>
        <v xml:space="preserve"> </v>
      </c>
    </row>
    <row r="62" spans="3:14">
      <c r="C62" s="1806">
        <v>2831001</v>
      </c>
      <c r="D62" s="1349"/>
      <c r="E62" s="1806">
        <v>7085</v>
      </c>
      <c r="F62"/>
      <c r="G62" s="777" t="s">
        <v>1702</v>
      </c>
      <c r="H62" s="779">
        <v>-31567766.960000001</v>
      </c>
      <c r="I62" s="780" t="s">
        <v>158</v>
      </c>
      <c r="J62" s="1342" t="str">
        <f t="shared" si="15"/>
        <v xml:space="preserve"> </v>
      </c>
      <c r="K62" s="1326" t="str">
        <f t="shared" si="10"/>
        <v xml:space="preserve"> </v>
      </c>
      <c r="L62" s="1326">
        <f t="shared" si="11"/>
        <v>-31567766.960000001</v>
      </c>
      <c r="M62" s="1342" t="str">
        <f t="shared" si="12"/>
        <v xml:space="preserve"> </v>
      </c>
      <c r="N62" s="1342" t="str">
        <f t="shared" si="14"/>
        <v xml:space="preserve"> </v>
      </c>
    </row>
    <row r="63" spans="3:14">
      <c r="C63" s="1806">
        <v>2831001</v>
      </c>
      <c r="D63" s="1349" t="s">
        <v>337</v>
      </c>
      <c r="E63" s="1806">
        <v>7086</v>
      </c>
      <c r="F63"/>
      <c r="G63" s="777" t="s">
        <v>1703</v>
      </c>
      <c r="H63" s="779">
        <v>-2072734.57</v>
      </c>
      <c r="I63" s="780" t="s">
        <v>291</v>
      </c>
      <c r="J63" s="1342">
        <f t="shared" si="15"/>
        <v>-2072734.57</v>
      </c>
      <c r="K63" s="1326" t="str">
        <f t="shared" si="10"/>
        <v xml:space="preserve"> </v>
      </c>
      <c r="L63" s="1326" t="str">
        <f t="shared" si="11"/>
        <v xml:space="preserve"> </v>
      </c>
      <c r="M63" s="1342" t="str">
        <f t="shared" si="12"/>
        <v xml:space="preserve"> </v>
      </c>
      <c r="N63" s="1342" t="str">
        <f t="shared" si="14"/>
        <v xml:space="preserve"> </v>
      </c>
    </row>
    <row r="64" spans="3:14">
      <c r="C64" s="1806">
        <v>2831001</v>
      </c>
      <c r="D64" s="1349" t="s">
        <v>337</v>
      </c>
      <c r="E64" s="1806">
        <v>7093</v>
      </c>
      <c r="F64"/>
      <c r="G64" s="777" t="s">
        <v>1786</v>
      </c>
      <c r="H64" s="779">
        <v>-356714.82</v>
      </c>
      <c r="I64" s="780" t="s">
        <v>291</v>
      </c>
      <c r="J64" s="1342">
        <f t="shared" si="15"/>
        <v>-356714.82</v>
      </c>
      <c r="K64" s="1326" t="str">
        <f t="shared" si="10"/>
        <v xml:space="preserve"> </v>
      </c>
      <c r="L64" s="1326" t="str">
        <f t="shared" si="11"/>
        <v xml:space="preserve"> </v>
      </c>
      <c r="M64" s="1342" t="str">
        <f t="shared" si="12"/>
        <v xml:space="preserve"> </v>
      </c>
      <c r="N64" s="1342" t="str">
        <f t="shared" si="14"/>
        <v xml:space="preserve"> </v>
      </c>
    </row>
    <row r="65" spans="3:14">
      <c r="C65" s="1806">
        <v>2831001</v>
      </c>
      <c r="D65" s="1349"/>
      <c r="E65" s="1806">
        <v>7094</v>
      </c>
      <c r="F65"/>
      <c r="G65" s="777" t="s">
        <v>1787</v>
      </c>
      <c r="H65" s="779">
        <v>-789013.96</v>
      </c>
      <c r="I65" s="780" t="s">
        <v>291</v>
      </c>
      <c r="J65" s="1342">
        <f t="shared" si="15"/>
        <v>-789013.96</v>
      </c>
      <c r="K65" s="1326" t="str">
        <f t="shared" si="10"/>
        <v xml:space="preserve"> </v>
      </c>
      <c r="L65" s="1326" t="str">
        <f t="shared" si="11"/>
        <v xml:space="preserve"> </v>
      </c>
      <c r="M65" s="1342" t="str">
        <f t="shared" si="12"/>
        <v xml:space="preserve"> </v>
      </c>
      <c r="N65" s="1342" t="str">
        <f t="shared" si="14"/>
        <v xml:space="preserve"> </v>
      </c>
    </row>
    <row r="66" spans="3:14">
      <c r="C66" s="1806">
        <v>2831001</v>
      </c>
      <c r="D66" s="1349"/>
      <c r="E66" s="1806">
        <v>7095</v>
      </c>
      <c r="F66"/>
      <c r="G66" s="777" t="s">
        <v>1788</v>
      </c>
      <c r="H66" s="779">
        <v>-142653.64000000001</v>
      </c>
      <c r="I66" s="780" t="s">
        <v>291</v>
      </c>
      <c r="J66" s="1342">
        <f t="shared" si="15"/>
        <v>-142653.64000000001</v>
      </c>
      <c r="K66" s="1326" t="str">
        <f t="shared" si="10"/>
        <v xml:space="preserve"> </v>
      </c>
      <c r="L66" s="1326" t="str">
        <f t="shared" si="11"/>
        <v xml:space="preserve"> </v>
      </c>
      <c r="M66" s="1342" t="str">
        <f t="shared" si="12"/>
        <v xml:space="preserve"> </v>
      </c>
      <c r="N66" s="1342" t="str">
        <f t="shared" si="14"/>
        <v xml:space="preserve"> </v>
      </c>
    </row>
    <row r="67" spans="3:14">
      <c r="C67" s="1806">
        <v>2831001</v>
      </c>
      <c r="D67" s="1349"/>
      <c r="E67" s="1806">
        <v>7096</v>
      </c>
      <c r="F67"/>
      <c r="G67" s="777" t="s">
        <v>1789</v>
      </c>
      <c r="H67" s="779">
        <v>0.42</v>
      </c>
      <c r="I67" s="780" t="s">
        <v>291</v>
      </c>
      <c r="J67" s="1342">
        <f t="shared" si="15"/>
        <v>0.42</v>
      </c>
      <c r="K67" s="1326" t="str">
        <f t="shared" si="10"/>
        <v xml:space="preserve"> </v>
      </c>
      <c r="L67" s="1326" t="str">
        <f t="shared" si="11"/>
        <v xml:space="preserve"> </v>
      </c>
      <c r="M67" s="1342" t="str">
        <f t="shared" si="12"/>
        <v xml:space="preserve"> </v>
      </c>
      <c r="N67" s="1342" t="str">
        <f t="shared" si="14"/>
        <v xml:space="preserve"> </v>
      </c>
    </row>
    <row r="68" spans="3:14">
      <c r="C68" s="1806">
        <v>2831001</v>
      </c>
      <c r="D68" s="1349"/>
      <c r="E68" s="1806">
        <v>7103</v>
      </c>
      <c r="F68"/>
      <c r="G68" s="777" t="s">
        <v>1704</v>
      </c>
      <c r="H68" s="779">
        <v>-90543.01</v>
      </c>
      <c r="I68" s="780" t="s">
        <v>291</v>
      </c>
      <c r="J68" s="1342">
        <f t="shared" si="15"/>
        <v>-90543.01</v>
      </c>
      <c r="K68" s="1326" t="str">
        <f t="shared" si="10"/>
        <v xml:space="preserve"> </v>
      </c>
      <c r="L68" s="1326" t="str">
        <f t="shared" si="11"/>
        <v xml:space="preserve"> </v>
      </c>
      <c r="M68" s="1342" t="str">
        <f t="shared" si="12"/>
        <v xml:space="preserve"> </v>
      </c>
      <c r="N68" s="1342" t="str">
        <f t="shared" si="14"/>
        <v xml:space="preserve"> </v>
      </c>
    </row>
    <row r="69" spans="3:14">
      <c r="C69" s="1806">
        <v>2831001</v>
      </c>
      <c r="D69" s="1349"/>
      <c r="E69" s="1806">
        <v>7104</v>
      </c>
      <c r="F69"/>
      <c r="G69" s="777" t="s">
        <v>1744</v>
      </c>
      <c r="H69" s="779">
        <v>246.01</v>
      </c>
      <c r="I69" s="780" t="s">
        <v>291</v>
      </c>
      <c r="J69" s="1342">
        <f t="shared" si="15"/>
        <v>246.01</v>
      </c>
      <c r="K69" s="1326" t="str">
        <f t="shared" si="10"/>
        <v xml:space="preserve"> </v>
      </c>
      <c r="L69" s="1326" t="str">
        <f t="shared" si="11"/>
        <v xml:space="preserve"> </v>
      </c>
      <c r="M69" s="1342" t="str">
        <f t="shared" si="12"/>
        <v xml:space="preserve"> </v>
      </c>
      <c r="N69" s="1342" t="str">
        <f t="shared" si="14"/>
        <v xml:space="preserve"> </v>
      </c>
    </row>
    <row r="70" spans="3:14">
      <c r="C70" s="1806">
        <v>2831001</v>
      </c>
      <c r="D70" s="1349" t="s">
        <v>337</v>
      </c>
      <c r="E70" s="1806">
        <v>7114</v>
      </c>
      <c r="F70"/>
      <c r="G70" s="777" t="s">
        <v>1790</v>
      </c>
      <c r="H70" s="779">
        <v>-82810.649999999994</v>
      </c>
      <c r="I70" s="780" t="s">
        <v>291</v>
      </c>
      <c r="J70" s="1342">
        <f t="shared" si="15"/>
        <v>-82810.649999999994</v>
      </c>
      <c r="K70" s="1326" t="str">
        <f t="shared" si="10"/>
        <v xml:space="preserve"> </v>
      </c>
      <c r="L70" s="1326" t="str">
        <f t="shared" si="11"/>
        <v xml:space="preserve"> </v>
      </c>
      <c r="M70" s="1342" t="str">
        <f t="shared" si="12"/>
        <v xml:space="preserve"> </v>
      </c>
      <c r="N70" s="1342" t="str">
        <f t="shared" si="14"/>
        <v xml:space="preserve"> </v>
      </c>
    </row>
    <row r="71" spans="3:14">
      <c r="C71" s="1806">
        <v>2831001</v>
      </c>
      <c r="D71" s="1349" t="s">
        <v>337</v>
      </c>
      <c r="E71" s="1806">
        <v>7117</v>
      </c>
      <c r="F71"/>
      <c r="G71" s="777" t="s">
        <v>1791</v>
      </c>
      <c r="H71" s="779">
        <v>0.01</v>
      </c>
      <c r="I71" s="780" t="s">
        <v>291</v>
      </c>
      <c r="J71" s="1342">
        <f t="shared" si="15"/>
        <v>0.01</v>
      </c>
      <c r="K71" s="1326" t="str">
        <f t="shared" si="10"/>
        <v xml:space="preserve"> </v>
      </c>
      <c r="L71" s="1326" t="str">
        <f t="shared" si="11"/>
        <v xml:space="preserve"> </v>
      </c>
      <c r="M71" s="1342" t="str">
        <f t="shared" si="12"/>
        <v xml:space="preserve"> </v>
      </c>
      <c r="N71" s="1342" t="str">
        <f t="shared" si="14"/>
        <v xml:space="preserve"> </v>
      </c>
    </row>
    <row r="72" spans="3:14">
      <c r="C72" s="1806">
        <v>2831001</v>
      </c>
      <c r="D72" s="1349" t="s">
        <v>337</v>
      </c>
      <c r="E72" s="1806">
        <v>7129</v>
      </c>
      <c r="F72"/>
      <c r="G72" s="777" t="s">
        <v>1792</v>
      </c>
      <c r="H72" s="779">
        <v>2310000</v>
      </c>
      <c r="I72" s="780" t="s">
        <v>291</v>
      </c>
      <c r="J72" s="1342">
        <f t="shared" ref="J72" si="18">IF(I72="e",H72," ")</f>
        <v>2310000</v>
      </c>
      <c r="K72" s="1326" t="str">
        <f t="shared" si="10"/>
        <v xml:space="preserve"> </v>
      </c>
      <c r="L72" s="1326" t="str">
        <f t="shared" si="11"/>
        <v xml:space="preserve"> </v>
      </c>
      <c r="M72" s="1342" t="str">
        <f t="shared" si="12"/>
        <v xml:space="preserve"> </v>
      </c>
      <c r="N72" s="1342" t="str">
        <f t="shared" ref="N72" si="19">IF(I72="Labor",H72," ")</f>
        <v xml:space="preserve"> </v>
      </c>
    </row>
    <row r="73" spans="3:14">
      <c r="C73" s="1806">
        <v>2831001</v>
      </c>
      <c r="D73" s="1349" t="s">
        <v>337</v>
      </c>
      <c r="E73" s="1806">
        <v>7137</v>
      </c>
      <c r="F73"/>
      <c r="G73" s="777" t="s">
        <v>1705</v>
      </c>
      <c r="H73" s="779">
        <v>-18710899.620000001</v>
      </c>
      <c r="I73" s="780" t="s">
        <v>291</v>
      </c>
      <c r="J73" s="1342">
        <f t="shared" si="15"/>
        <v>-18710899.620000001</v>
      </c>
      <c r="K73" s="1326" t="str">
        <f t="shared" si="10"/>
        <v xml:space="preserve"> </v>
      </c>
      <c r="L73" s="1326" t="str">
        <f t="shared" si="11"/>
        <v xml:space="preserve"> </v>
      </c>
      <c r="M73" s="1342" t="str">
        <f t="shared" si="12"/>
        <v xml:space="preserve"> </v>
      </c>
      <c r="N73" s="1342" t="str">
        <f t="shared" si="14"/>
        <v xml:space="preserve"> </v>
      </c>
    </row>
    <row r="74" spans="3:14">
      <c r="C74" s="1806">
        <v>2831001</v>
      </c>
      <c r="D74" s="1349" t="s">
        <v>337</v>
      </c>
      <c r="E74" s="1806">
        <v>7138</v>
      </c>
      <c r="F74"/>
      <c r="G74" s="777" t="s">
        <v>1706</v>
      </c>
      <c r="H74" s="779">
        <v>-135363.26999999999</v>
      </c>
      <c r="I74" s="780" t="s">
        <v>291</v>
      </c>
      <c r="J74" s="1342">
        <f t="shared" si="15"/>
        <v>-135363.26999999999</v>
      </c>
      <c r="K74" s="1326" t="str">
        <f t="shared" si="10"/>
        <v xml:space="preserve"> </v>
      </c>
      <c r="L74" s="1326" t="str">
        <f t="shared" si="11"/>
        <v xml:space="preserve"> </v>
      </c>
      <c r="M74" s="1342" t="str">
        <f t="shared" si="12"/>
        <v xml:space="preserve"> </v>
      </c>
      <c r="N74" s="1342" t="str">
        <f t="shared" si="14"/>
        <v xml:space="preserve"> </v>
      </c>
    </row>
    <row r="75" spans="3:14">
      <c r="C75" s="1806">
        <v>2831001</v>
      </c>
      <c r="D75" s="1349" t="s">
        <v>337</v>
      </c>
      <c r="E75" s="1806">
        <v>7139</v>
      </c>
      <c r="F75"/>
      <c r="G75" s="777" t="s">
        <v>1707</v>
      </c>
      <c r="H75" s="779">
        <v>-2136902.04</v>
      </c>
      <c r="I75" s="780" t="s">
        <v>291</v>
      </c>
      <c r="J75" s="1342">
        <f t="shared" si="15"/>
        <v>-2136902.04</v>
      </c>
      <c r="K75" s="1326" t="str">
        <f t="shared" si="10"/>
        <v xml:space="preserve"> </v>
      </c>
      <c r="L75" s="1326" t="str">
        <f t="shared" si="11"/>
        <v xml:space="preserve"> </v>
      </c>
      <c r="M75" s="1342" t="str">
        <f t="shared" si="12"/>
        <v xml:space="preserve"> </v>
      </c>
      <c r="N75" s="1342" t="str">
        <f t="shared" si="14"/>
        <v xml:space="preserve"> </v>
      </c>
    </row>
    <row r="76" spans="3:14">
      <c r="C76" s="1806">
        <v>2831001</v>
      </c>
      <c r="D76" s="1349" t="s">
        <v>337</v>
      </c>
      <c r="E76" s="1806">
        <v>7258</v>
      </c>
      <c r="F76"/>
      <c r="G76" s="777" t="s">
        <v>1797</v>
      </c>
      <c r="H76" s="779">
        <v>-196666.41</v>
      </c>
      <c r="I76" s="780" t="s">
        <v>291</v>
      </c>
      <c r="J76" s="1342">
        <f t="shared" si="15"/>
        <v>-196666.41</v>
      </c>
      <c r="K76" s="1326" t="str">
        <f t="shared" si="10"/>
        <v xml:space="preserve"> </v>
      </c>
      <c r="L76" s="1326" t="str">
        <f t="shared" si="11"/>
        <v xml:space="preserve"> </v>
      </c>
      <c r="M76" s="1342" t="str">
        <f t="shared" si="12"/>
        <v xml:space="preserve"> </v>
      </c>
      <c r="N76" s="1342" t="str">
        <f t="shared" si="14"/>
        <v xml:space="preserve"> </v>
      </c>
    </row>
    <row r="77" spans="3:14">
      <c r="C77" s="1806">
        <v>2831001</v>
      </c>
      <c r="D77" s="1349" t="s">
        <v>337</v>
      </c>
      <c r="E77" s="1806">
        <v>7278</v>
      </c>
      <c r="F77"/>
      <c r="G77" s="777" t="s">
        <v>1798</v>
      </c>
      <c r="H77" s="779">
        <v>-163739.91</v>
      </c>
      <c r="I77" s="780" t="s">
        <v>291</v>
      </c>
      <c r="J77" s="1342">
        <f t="shared" si="15"/>
        <v>-163739.91</v>
      </c>
      <c r="K77" s="1326" t="str">
        <f t="shared" si="10"/>
        <v xml:space="preserve"> </v>
      </c>
      <c r="L77" s="1326" t="str">
        <f t="shared" si="11"/>
        <v xml:space="preserve"> </v>
      </c>
      <c r="M77" s="1342" t="str">
        <f t="shared" si="12"/>
        <v xml:space="preserve"> </v>
      </c>
      <c r="N77" s="1342" t="str">
        <f t="shared" si="14"/>
        <v xml:space="preserve"> </v>
      </c>
    </row>
    <row r="78" spans="3:14">
      <c r="C78" s="1806">
        <v>2831001</v>
      </c>
      <c r="D78" s="1349" t="s">
        <v>337</v>
      </c>
      <c r="E78" s="1806">
        <v>7308</v>
      </c>
      <c r="F78"/>
      <c r="G78" s="777" t="s">
        <v>1799</v>
      </c>
      <c r="H78" s="779">
        <v>-156092.81</v>
      </c>
      <c r="I78" s="780" t="s">
        <v>291</v>
      </c>
      <c r="J78" s="1342">
        <f t="shared" si="15"/>
        <v>-156092.81</v>
      </c>
      <c r="K78" s="1326" t="str">
        <f t="shared" si="10"/>
        <v xml:space="preserve"> </v>
      </c>
      <c r="L78" s="1326" t="str">
        <f t="shared" si="11"/>
        <v xml:space="preserve"> </v>
      </c>
      <c r="M78" s="1342" t="str">
        <f t="shared" si="12"/>
        <v xml:space="preserve"> </v>
      </c>
      <c r="N78" s="1342" t="str">
        <f t="shared" si="14"/>
        <v xml:space="preserve"> </v>
      </c>
    </row>
    <row r="79" spans="3:14">
      <c r="C79" s="1806">
        <v>2831001</v>
      </c>
      <c r="D79" s="1349" t="s">
        <v>337</v>
      </c>
      <c r="E79" s="1806">
        <v>7360</v>
      </c>
      <c r="F79"/>
      <c r="G79" s="777" t="s">
        <v>1800</v>
      </c>
      <c r="H79" s="779">
        <v>-311645.56</v>
      </c>
      <c r="I79" s="780" t="s">
        <v>291</v>
      </c>
      <c r="J79" s="1342">
        <f t="shared" si="15"/>
        <v>-311645.56</v>
      </c>
      <c r="K79" s="1326" t="str">
        <f t="shared" si="10"/>
        <v xml:space="preserve"> </v>
      </c>
      <c r="L79" s="1326" t="str">
        <f t="shared" si="11"/>
        <v xml:space="preserve"> </v>
      </c>
      <c r="M79" s="1342" t="str">
        <f t="shared" si="12"/>
        <v xml:space="preserve"> </v>
      </c>
      <c r="N79" s="1342" t="str">
        <f t="shared" si="14"/>
        <v xml:space="preserve"> </v>
      </c>
    </row>
    <row r="80" spans="3:14">
      <c r="C80" s="1806">
        <v>2831001</v>
      </c>
      <c r="D80" s="1349" t="s">
        <v>337</v>
      </c>
      <c r="E80" s="1806">
        <v>7380</v>
      </c>
      <c r="F80"/>
      <c r="G80" s="777" t="s">
        <v>1801</v>
      </c>
      <c r="H80" s="779">
        <v>-2875967.43</v>
      </c>
      <c r="I80" s="780" t="s">
        <v>291</v>
      </c>
      <c r="J80" s="1342">
        <f t="shared" si="15"/>
        <v>-2875967.43</v>
      </c>
      <c r="K80" s="1326" t="str">
        <f t="shared" si="10"/>
        <v xml:space="preserve"> </v>
      </c>
      <c r="L80" s="1326" t="str">
        <f t="shared" si="11"/>
        <v xml:space="preserve"> </v>
      </c>
      <c r="M80" s="1342" t="str">
        <f t="shared" si="12"/>
        <v xml:space="preserve"> </v>
      </c>
      <c r="N80" s="1342" t="str">
        <f t="shared" si="14"/>
        <v xml:space="preserve"> </v>
      </c>
    </row>
    <row r="81" spans="3:14">
      <c r="C81" s="1806">
        <v>2831001</v>
      </c>
      <c r="D81" s="1349" t="s">
        <v>337</v>
      </c>
      <c r="E81" s="1806">
        <v>7381</v>
      </c>
      <c r="F81"/>
      <c r="G81" s="777" t="s">
        <v>1802</v>
      </c>
      <c r="H81" s="779">
        <v>1005932.01</v>
      </c>
      <c r="I81" s="780" t="s">
        <v>291</v>
      </c>
      <c r="J81" s="1342">
        <f t="shared" si="15"/>
        <v>1005932.01</v>
      </c>
      <c r="K81" s="1326" t="str">
        <f t="shared" si="10"/>
        <v xml:space="preserve"> </v>
      </c>
      <c r="L81" s="1326" t="str">
        <f t="shared" si="11"/>
        <v xml:space="preserve"> </v>
      </c>
      <c r="M81" s="1342" t="str">
        <f t="shared" si="12"/>
        <v xml:space="preserve"> </v>
      </c>
      <c r="N81" s="1342" t="str">
        <f t="shared" si="14"/>
        <v xml:space="preserve"> </v>
      </c>
    </row>
    <row r="82" spans="3:14">
      <c r="C82" s="1806">
        <v>2831001</v>
      </c>
      <c r="D82" s="1349" t="s">
        <v>337</v>
      </c>
      <c r="E82" s="1806">
        <v>7392</v>
      </c>
      <c r="F82"/>
      <c r="G82" s="777" t="s">
        <v>1803</v>
      </c>
      <c r="H82" s="779">
        <v>0.21</v>
      </c>
      <c r="I82" s="780" t="s">
        <v>291</v>
      </c>
      <c r="J82" s="1342">
        <f t="shared" si="15"/>
        <v>0.21</v>
      </c>
      <c r="K82" s="1326" t="str">
        <f t="shared" si="10"/>
        <v xml:space="preserve"> </v>
      </c>
      <c r="L82" s="1326" t="str">
        <f t="shared" si="11"/>
        <v xml:space="preserve"> </v>
      </c>
      <c r="M82" s="1342" t="str">
        <f t="shared" si="12"/>
        <v xml:space="preserve"> </v>
      </c>
      <c r="N82" s="1342" t="str">
        <f t="shared" si="14"/>
        <v xml:space="preserve"> </v>
      </c>
    </row>
    <row r="83" spans="3:14">
      <c r="C83" s="1806">
        <v>2831001</v>
      </c>
      <c r="D83" s="1349" t="s">
        <v>337</v>
      </c>
      <c r="E83" s="1806">
        <v>7396</v>
      </c>
      <c r="F83"/>
      <c r="G83" s="777" t="s">
        <v>1804</v>
      </c>
      <c r="H83" s="779">
        <v>-3027679.03</v>
      </c>
      <c r="I83" s="780" t="s">
        <v>291</v>
      </c>
      <c r="J83" s="1342">
        <f t="shared" si="15"/>
        <v>-3027679.03</v>
      </c>
      <c r="K83" s="1326" t="str">
        <f t="shared" si="10"/>
        <v xml:space="preserve"> </v>
      </c>
      <c r="L83" s="1326" t="str">
        <f t="shared" si="11"/>
        <v xml:space="preserve"> </v>
      </c>
      <c r="M83" s="1342" t="str">
        <f t="shared" si="12"/>
        <v xml:space="preserve"> </v>
      </c>
      <c r="N83" s="1342" t="str">
        <f t="shared" si="14"/>
        <v xml:space="preserve"> </v>
      </c>
    </row>
    <row r="84" spans="3:14">
      <c r="C84" s="1806">
        <v>2831001</v>
      </c>
      <c r="D84" s="1349" t="s">
        <v>337</v>
      </c>
      <c r="E84" s="1806">
        <v>7414</v>
      </c>
      <c r="F84"/>
      <c r="G84" s="777" t="s">
        <v>1716</v>
      </c>
      <c r="H84" s="779">
        <v>-75804.75</v>
      </c>
      <c r="I84" s="780" t="s">
        <v>291</v>
      </c>
      <c r="J84" s="1342">
        <f t="shared" si="15"/>
        <v>-75804.75</v>
      </c>
      <c r="K84" s="1326" t="str">
        <f t="shared" si="10"/>
        <v xml:space="preserve"> </v>
      </c>
      <c r="L84" s="1326" t="str">
        <f t="shared" si="11"/>
        <v xml:space="preserve"> </v>
      </c>
      <c r="M84" s="1342" t="str">
        <f t="shared" si="12"/>
        <v xml:space="preserve"> </v>
      </c>
      <c r="N84" s="1342" t="str">
        <f t="shared" si="14"/>
        <v xml:space="preserve"> </v>
      </c>
    </row>
    <row r="85" spans="3:14">
      <c r="C85" s="1806">
        <v>2831001</v>
      </c>
      <c r="D85" s="1349" t="s">
        <v>337</v>
      </c>
      <c r="E85" s="1806">
        <v>7432</v>
      </c>
      <c r="F85"/>
      <c r="G85" s="777" t="s">
        <v>1806</v>
      </c>
      <c r="H85" s="779">
        <v>33646.28</v>
      </c>
      <c r="I85" s="780" t="s">
        <v>291</v>
      </c>
      <c r="J85" s="1342">
        <f t="shared" si="15"/>
        <v>33646.28</v>
      </c>
      <c r="K85" s="1326" t="str">
        <f t="shared" si="10"/>
        <v xml:space="preserve"> </v>
      </c>
      <c r="L85" s="1326" t="str">
        <f t="shared" si="11"/>
        <v xml:space="preserve"> </v>
      </c>
      <c r="M85" s="1342" t="str">
        <f t="shared" si="12"/>
        <v xml:space="preserve"> </v>
      </c>
      <c r="N85" s="1342" t="str">
        <f t="shared" si="14"/>
        <v xml:space="preserve"> </v>
      </c>
    </row>
    <row r="86" spans="3:14">
      <c r="C86" s="1806">
        <v>2831001</v>
      </c>
      <c r="D86" s="1349" t="s">
        <v>337</v>
      </c>
      <c r="E86" s="1806">
        <v>7438</v>
      </c>
      <c r="F86"/>
      <c r="G86" s="777" t="s">
        <v>1807</v>
      </c>
      <c r="H86" s="779">
        <v>-401110.75</v>
      </c>
      <c r="I86" s="780" t="s">
        <v>291</v>
      </c>
      <c r="J86" s="1342">
        <f t="shared" si="15"/>
        <v>-401110.75</v>
      </c>
      <c r="K86" s="1326" t="str">
        <f t="shared" si="10"/>
        <v xml:space="preserve"> </v>
      </c>
      <c r="L86" s="1326" t="str">
        <f t="shared" si="11"/>
        <v xml:space="preserve"> </v>
      </c>
      <c r="M86" s="1342" t="str">
        <f t="shared" si="12"/>
        <v xml:space="preserve"> </v>
      </c>
      <c r="N86" s="1342" t="str">
        <f t="shared" si="14"/>
        <v xml:space="preserve"> </v>
      </c>
    </row>
    <row r="87" spans="3:14">
      <c r="C87" s="1806">
        <v>2831001</v>
      </c>
      <c r="D87" s="1349" t="s">
        <v>337</v>
      </c>
      <c r="E87" s="1806">
        <v>7440</v>
      </c>
      <c r="F87"/>
      <c r="G87" s="777" t="s">
        <v>1808</v>
      </c>
      <c r="H87" s="779">
        <v>1415525.94</v>
      </c>
      <c r="I87" s="780" t="s">
        <v>291</v>
      </c>
      <c r="J87" s="1342">
        <f t="shared" si="15"/>
        <v>1415525.94</v>
      </c>
      <c r="K87" s="1326" t="str">
        <f t="shared" si="10"/>
        <v xml:space="preserve"> </v>
      </c>
      <c r="L87" s="1326" t="str">
        <f t="shared" si="11"/>
        <v xml:space="preserve"> </v>
      </c>
      <c r="M87" s="1342" t="str">
        <f t="shared" si="12"/>
        <v xml:space="preserve"> </v>
      </c>
      <c r="N87" s="1342" t="str">
        <f t="shared" si="14"/>
        <v xml:space="preserve"> </v>
      </c>
    </row>
    <row r="88" spans="3:14">
      <c r="C88" s="1806">
        <v>2831001</v>
      </c>
      <c r="D88" s="1349" t="s">
        <v>337</v>
      </c>
      <c r="E88" s="1806">
        <v>7455</v>
      </c>
      <c r="F88"/>
      <c r="G88" s="777" t="s">
        <v>1809</v>
      </c>
      <c r="H88" s="779">
        <v>-577988.38</v>
      </c>
      <c r="I88" s="780" t="s">
        <v>291</v>
      </c>
      <c r="J88" s="1342">
        <f t="shared" si="15"/>
        <v>-577988.38</v>
      </c>
      <c r="K88" s="1326" t="str">
        <f t="shared" si="10"/>
        <v xml:space="preserve"> </v>
      </c>
      <c r="L88" s="1326" t="str">
        <f t="shared" si="11"/>
        <v xml:space="preserve"> </v>
      </c>
      <c r="M88" s="1342" t="str">
        <f t="shared" si="12"/>
        <v xml:space="preserve"> </v>
      </c>
      <c r="N88" s="1342" t="str">
        <f t="shared" si="14"/>
        <v xml:space="preserve"> </v>
      </c>
    </row>
    <row r="89" spans="3:14">
      <c r="C89" s="1806">
        <v>2831001</v>
      </c>
      <c r="D89" s="1349" t="s">
        <v>337</v>
      </c>
      <c r="E89" s="1806">
        <v>7456</v>
      </c>
      <c r="F89"/>
      <c r="G89" s="777" t="s">
        <v>1810</v>
      </c>
      <c r="H89" s="779">
        <v>-947574.93</v>
      </c>
      <c r="I89" s="780" t="s">
        <v>291</v>
      </c>
      <c r="J89" s="1342">
        <f t="shared" si="15"/>
        <v>-947574.93</v>
      </c>
      <c r="K89" s="1326" t="str">
        <f t="shared" si="10"/>
        <v xml:space="preserve"> </v>
      </c>
      <c r="L89" s="1326" t="str">
        <f t="shared" si="11"/>
        <v xml:space="preserve"> </v>
      </c>
      <c r="M89" s="1342" t="str">
        <f t="shared" si="12"/>
        <v xml:space="preserve"> </v>
      </c>
      <c r="N89" s="1342" t="str">
        <f t="shared" si="14"/>
        <v xml:space="preserve"> </v>
      </c>
    </row>
    <row r="90" spans="3:14">
      <c r="C90" s="1806">
        <v>2831001</v>
      </c>
      <c r="D90" s="1349"/>
      <c r="E90" s="1806">
        <v>7459</v>
      </c>
      <c r="F90"/>
      <c r="G90" s="777" t="s">
        <v>1811</v>
      </c>
      <c r="H90" s="779">
        <v>-7437235.0899999999</v>
      </c>
      <c r="I90" s="780" t="s">
        <v>291</v>
      </c>
      <c r="J90" s="1342">
        <f t="shared" si="15"/>
        <v>-7437235.0899999999</v>
      </c>
      <c r="K90" s="1326" t="str">
        <f t="shared" si="10"/>
        <v xml:space="preserve"> </v>
      </c>
      <c r="L90" s="1326" t="str">
        <f t="shared" si="11"/>
        <v xml:space="preserve"> </v>
      </c>
      <c r="M90" s="1342" t="str">
        <f t="shared" si="12"/>
        <v xml:space="preserve"> </v>
      </c>
      <c r="N90" s="1342" t="str">
        <f t="shared" si="14"/>
        <v xml:space="preserve"> </v>
      </c>
    </row>
    <row r="91" spans="3:14">
      <c r="C91" s="1806">
        <v>2831001</v>
      </c>
      <c r="D91" s="1349"/>
      <c r="E91" s="1806">
        <v>7486</v>
      </c>
      <c r="F91"/>
      <c r="G91" s="777" t="s">
        <v>1812</v>
      </c>
      <c r="H91" s="779">
        <v>-1002725.91</v>
      </c>
      <c r="I91" s="780" t="s">
        <v>291</v>
      </c>
      <c r="J91" s="1342">
        <f t="shared" si="15"/>
        <v>-1002725.91</v>
      </c>
      <c r="K91" s="1326" t="str">
        <f t="shared" si="10"/>
        <v xml:space="preserve"> </v>
      </c>
      <c r="L91" s="1326" t="str">
        <f t="shared" si="11"/>
        <v xml:space="preserve"> </v>
      </c>
      <c r="M91" s="1342" t="str">
        <f t="shared" si="12"/>
        <v xml:space="preserve"> </v>
      </c>
      <c r="N91" s="1342" t="str">
        <f t="shared" si="14"/>
        <v xml:space="preserve"> </v>
      </c>
    </row>
    <row r="92" spans="3:14">
      <c r="C92" s="1806">
        <v>2831001</v>
      </c>
      <c r="D92" s="1349"/>
      <c r="E92" s="1806">
        <v>7487</v>
      </c>
      <c r="F92"/>
      <c r="G92" s="777" t="s">
        <v>1813</v>
      </c>
      <c r="H92" s="779">
        <v>-8794154.6400000006</v>
      </c>
      <c r="I92" s="780" t="s">
        <v>291</v>
      </c>
      <c r="J92" s="1342">
        <f t="shared" si="15"/>
        <v>-8794154.6400000006</v>
      </c>
      <c r="K92" s="1326" t="str">
        <f t="shared" si="10"/>
        <v xml:space="preserve"> </v>
      </c>
      <c r="L92" s="1326" t="str">
        <f t="shared" si="11"/>
        <v xml:space="preserve"> </v>
      </c>
      <c r="M92" s="1342" t="str">
        <f t="shared" si="12"/>
        <v xml:space="preserve"> </v>
      </c>
      <c r="N92" s="1342" t="str">
        <f t="shared" si="14"/>
        <v xml:space="preserve"> </v>
      </c>
    </row>
    <row r="93" spans="3:14">
      <c r="C93" s="1806">
        <v>2831001</v>
      </c>
      <c r="D93" s="1349"/>
      <c r="E93" s="1806">
        <v>7488</v>
      </c>
      <c r="F93"/>
      <c r="G93" s="777" t="s">
        <v>1719</v>
      </c>
      <c r="H93" s="779">
        <v>-7965149.0099999998</v>
      </c>
      <c r="I93" s="780" t="s">
        <v>291</v>
      </c>
      <c r="J93" s="1342">
        <f t="shared" si="15"/>
        <v>-7965149.0099999998</v>
      </c>
      <c r="K93" s="1326" t="str">
        <f t="shared" si="10"/>
        <v xml:space="preserve"> </v>
      </c>
      <c r="L93" s="1326" t="str">
        <f t="shared" si="11"/>
        <v xml:space="preserve"> </v>
      </c>
      <c r="M93" s="1342" t="str">
        <f t="shared" si="12"/>
        <v xml:space="preserve"> </v>
      </c>
      <c r="N93" s="1342" t="str">
        <f t="shared" si="14"/>
        <v xml:space="preserve"> </v>
      </c>
    </row>
    <row r="94" spans="3:14">
      <c r="C94" s="1806">
        <v>2831001</v>
      </c>
      <c r="D94" s="1349" t="s">
        <v>337</v>
      </c>
      <c r="E94" s="1806">
        <v>7489</v>
      </c>
      <c r="F94"/>
      <c r="G94" s="777" t="s">
        <v>1720</v>
      </c>
      <c r="H94" s="779">
        <v>4701087.09</v>
      </c>
      <c r="I94" s="780" t="s">
        <v>291</v>
      </c>
      <c r="J94" s="1342">
        <f t="shared" si="15"/>
        <v>4701087.09</v>
      </c>
      <c r="K94" s="1326" t="str">
        <f t="shared" si="10"/>
        <v xml:space="preserve"> </v>
      </c>
      <c r="L94" s="1326" t="str">
        <f t="shared" si="11"/>
        <v xml:space="preserve"> </v>
      </c>
      <c r="M94" s="1342" t="str">
        <f t="shared" si="12"/>
        <v xml:space="preserve"> </v>
      </c>
      <c r="N94" s="1342" t="str">
        <f t="shared" si="14"/>
        <v xml:space="preserve"> </v>
      </c>
    </row>
    <row r="95" spans="3:14">
      <c r="C95" s="1806">
        <v>2831001</v>
      </c>
      <c r="D95" s="1349" t="s">
        <v>337</v>
      </c>
      <c r="E95" s="1806">
        <v>7493</v>
      </c>
      <c r="F95"/>
      <c r="G95" s="777" t="s">
        <v>1814</v>
      </c>
      <c r="H95" s="779">
        <v>2093226.51</v>
      </c>
      <c r="I95" s="780" t="s">
        <v>291</v>
      </c>
      <c r="J95" s="1342">
        <f t="shared" si="15"/>
        <v>2093226.51</v>
      </c>
      <c r="K95" s="1326" t="str">
        <f t="shared" si="10"/>
        <v xml:space="preserve"> </v>
      </c>
      <c r="L95" s="1326" t="str">
        <f t="shared" si="11"/>
        <v xml:space="preserve"> </v>
      </c>
      <c r="M95" s="1342" t="str">
        <f t="shared" si="12"/>
        <v xml:space="preserve"> </v>
      </c>
      <c r="N95" s="1342" t="str">
        <f t="shared" si="14"/>
        <v xml:space="preserve"> </v>
      </c>
    </row>
    <row r="96" spans="3:14">
      <c r="C96" s="1806">
        <v>2831001</v>
      </c>
      <c r="D96" s="1349" t="s">
        <v>337</v>
      </c>
      <c r="E96" s="1806">
        <v>7494</v>
      </c>
      <c r="F96"/>
      <c r="G96" s="777" t="s">
        <v>1815</v>
      </c>
      <c r="H96" s="779">
        <v>-499294.93</v>
      </c>
      <c r="I96" s="780" t="s">
        <v>291</v>
      </c>
      <c r="J96" s="1342">
        <f t="shared" si="15"/>
        <v>-499294.93</v>
      </c>
      <c r="K96" s="1326" t="str">
        <f t="shared" si="10"/>
        <v xml:space="preserve"> </v>
      </c>
      <c r="L96" s="1326" t="str">
        <f t="shared" si="11"/>
        <v xml:space="preserve"> </v>
      </c>
      <c r="M96" s="1342" t="str">
        <f t="shared" si="12"/>
        <v xml:space="preserve"> </v>
      </c>
      <c r="N96" s="1342" t="str">
        <f t="shared" si="14"/>
        <v xml:space="preserve"> </v>
      </c>
    </row>
    <row r="97" spans="3:14">
      <c r="C97" s="1806">
        <v>2831001</v>
      </c>
      <c r="D97" s="1349" t="s">
        <v>337</v>
      </c>
      <c r="E97" s="1806">
        <v>7495</v>
      </c>
      <c r="F97"/>
      <c r="G97" s="777" t="s">
        <v>1816</v>
      </c>
      <c r="H97" s="779">
        <v>-1367592.2</v>
      </c>
      <c r="I97" s="780" t="s">
        <v>291</v>
      </c>
      <c r="J97" s="1342">
        <f t="shared" si="15"/>
        <v>-1367592.2</v>
      </c>
      <c r="K97" s="1326" t="str">
        <f t="shared" si="10"/>
        <v xml:space="preserve"> </v>
      </c>
      <c r="L97" s="1326" t="str">
        <f t="shared" si="11"/>
        <v xml:space="preserve"> </v>
      </c>
      <c r="M97" s="1342" t="str">
        <f t="shared" si="12"/>
        <v xml:space="preserve"> </v>
      </c>
      <c r="N97" s="1342" t="str">
        <f t="shared" si="14"/>
        <v xml:space="preserve"> </v>
      </c>
    </row>
    <row r="98" spans="3:14">
      <c r="C98" s="1806">
        <v>2831001</v>
      </c>
      <c r="D98" s="1349" t="s">
        <v>337</v>
      </c>
      <c r="E98" s="1806">
        <v>7504</v>
      </c>
      <c r="F98"/>
      <c r="G98" s="777" t="s">
        <v>1817</v>
      </c>
      <c r="H98" s="779">
        <v>-235845.39</v>
      </c>
      <c r="I98" s="780" t="s">
        <v>291</v>
      </c>
      <c r="J98" s="1342">
        <f t="shared" si="15"/>
        <v>-235845.39</v>
      </c>
      <c r="K98" s="1326" t="str">
        <f t="shared" si="10"/>
        <v xml:space="preserve"> </v>
      </c>
      <c r="L98" s="1326" t="str">
        <f t="shared" si="11"/>
        <v xml:space="preserve"> </v>
      </c>
      <c r="M98" s="1342" t="str">
        <f t="shared" si="12"/>
        <v xml:space="preserve"> </v>
      </c>
      <c r="N98" s="1342" t="str">
        <f t="shared" si="14"/>
        <v xml:space="preserve"> </v>
      </c>
    </row>
    <row r="99" spans="3:14">
      <c r="C99" s="1806">
        <v>2831001</v>
      </c>
      <c r="D99" s="1349" t="s">
        <v>337</v>
      </c>
      <c r="E99" s="1806">
        <v>7505</v>
      </c>
      <c r="F99"/>
      <c r="G99" s="777" t="s">
        <v>1818</v>
      </c>
      <c r="H99" s="779">
        <v>-464774.31</v>
      </c>
      <c r="I99" s="780" t="s">
        <v>291</v>
      </c>
      <c r="J99" s="1342">
        <f t="shared" si="15"/>
        <v>-464774.31</v>
      </c>
      <c r="K99" s="1326" t="str">
        <f t="shared" si="10"/>
        <v xml:space="preserve"> </v>
      </c>
      <c r="L99" s="1326" t="str">
        <f t="shared" si="11"/>
        <v xml:space="preserve"> </v>
      </c>
      <c r="M99" s="1342" t="str">
        <f t="shared" si="12"/>
        <v xml:space="preserve"> </v>
      </c>
      <c r="N99" s="1342" t="str">
        <f t="shared" si="14"/>
        <v xml:space="preserve"> </v>
      </c>
    </row>
    <row r="100" spans="3:14">
      <c r="C100" s="1806">
        <v>2831001</v>
      </c>
      <c r="D100" s="1349" t="s">
        <v>337</v>
      </c>
      <c r="E100" s="1806">
        <v>7506</v>
      </c>
      <c r="F100"/>
      <c r="G100" s="777" t="s">
        <v>1819</v>
      </c>
      <c r="H100" s="779">
        <v>1524.33</v>
      </c>
      <c r="I100" s="780" t="s">
        <v>291</v>
      </c>
      <c r="J100" s="1342">
        <f t="shared" si="15"/>
        <v>1524.33</v>
      </c>
      <c r="K100" s="1326" t="str">
        <f t="shared" si="10"/>
        <v xml:space="preserve"> </v>
      </c>
      <c r="L100" s="1326" t="str">
        <f t="shared" si="11"/>
        <v xml:space="preserve"> </v>
      </c>
      <c r="M100" s="1342" t="str">
        <f t="shared" si="12"/>
        <v xml:space="preserve"> </v>
      </c>
      <c r="N100" s="1342" t="str">
        <f t="shared" si="14"/>
        <v xml:space="preserve"> </v>
      </c>
    </row>
    <row r="101" spans="3:14">
      <c r="C101" s="1806">
        <v>2831001</v>
      </c>
      <c r="D101" s="1349" t="s">
        <v>337</v>
      </c>
      <c r="E101" s="1806">
        <v>7507</v>
      </c>
      <c r="F101"/>
      <c r="G101" s="777" t="s">
        <v>1820</v>
      </c>
      <c r="H101" s="779">
        <v>-3816130.57</v>
      </c>
      <c r="I101" s="780" t="s">
        <v>291</v>
      </c>
      <c r="J101" s="1342">
        <f t="shared" si="15"/>
        <v>-3816130.57</v>
      </c>
      <c r="K101" s="1326" t="str">
        <f t="shared" si="10"/>
        <v xml:space="preserve"> </v>
      </c>
      <c r="L101" s="1326" t="str">
        <f t="shared" si="11"/>
        <v xml:space="preserve"> </v>
      </c>
      <c r="M101" s="1342" t="str">
        <f t="shared" si="12"/>
        <v xml:space="preserve"> </v>
      </c>
      <c r="N101" s="1342" t="str">
        <f t="shared" si="14"/>
        <v xml:space="preserve"> </v>
      </c>
    </row>
    <row r="102" spans="3:14">
      <c r="C102" s="1806">
        <v>2831001</v>
      </c>
      <c r="D102" s="1349"/>
      <c r="E102" s="1806">
        <v>7508</v>
      </c>
      <c r="F102"/>
      <c r="G102" s="777" t="s">
        <v>1821</v>
      </c>
      <c r="H102" s="779">
        <v>174057.48</v>
      </c>
      <c r="I102" s="780" t="s">
        <v>291</v>
      </c>
      <c r="J102" s="1342">
        <f t="shared" si="15"/>
        <v>174057.48</v>
      </c>
      <c r="K102" s="1326" t="str">
        <f t="shared" si="10"/>
        <v xml:space="preserve"> </v>
      </c>
      <c r="L102" s="1326" t="str">
        <f t="shared" si="11"/>
        <v xml:space="preserve"> </v>
      </c>
      <c r="M102" s="1342" t="str">
        <f t="shared" si="12"/>
        <v xml:space="preserve"> </v>
      </c>
      <c r="N102" s="1342" t="str">
        <f t="shared" si="14"/>
        <v xml:space="preserve"> </v>
      </c>
    </row>
    <row r="103" spans="3:14">
      <c r="C103" s="1806">
        <v>2831001</v>
      </c>
      <c r="D103" s="1349"/>
      <c r="E103" s="1806">
        <v>7509</v>
      </c>
      <c r="F103"/>
      <c r="G103" s="777" t="s">
        <v>1822</v>
      </c>
      <c r="H103" s="779">
        <v>-272627.96999999997</v>
      </c>
      <c r="I103" s="780" t="s">
        <v>291</v>
      </c>
      <c r="J103" s="1342">
        <f t="shared" si="15"/>
        <v>-272627.96999999997</v>
      </c>
      <c r="K103" s="1326" t="str">
        <f t="shared" si="10"/>
        <v xml:space="preserve"> </v>
      </c>
      <c r="L103" s="1326" t="str">
        <f t="shared" si="11"/>
        <v xml:space="preserve"> </v>
      </c>
      <c r="M103" s="1342" t="str">
        <f t="shared" si="12"/>
        <v xml:space="preserve"> </v>
      </c>
      <c r="N103" s="1342" t="str">
        <f t="shared" si="14"/>
        <v xml:space="preserve"> </v>
      </c>
    </row>
    <row r="104" spans="3:14">
      <c r="C104" s="1806">
        <v>2831001</v>
      </c>
      <c r="D104" s="1349"/>
      <c r="E104" s="1806">
        <v>7512</v>
      </c>
      <c r="F104"/>
      <c r="G104" s="777" t="s">
        <v>1823</v>
      </c>
      <c r="H104" s="779">
        <v>0.01</v>
      </c>
      <c r="I104" s="780" t="s">
        <v>291</v>
      </c>
      <c r="J104" s="1342">
        <f t="shared" si="15"/>
        <v>0.01</v>
      </c>
      <c r="K104" s="1326" t="str">
        <f t="shared" si="10"/>
        <v xml:space="preserve"> </v>
      </c>
      <c r="L104" s="1326" t="str">
        <f t="shared" si="11"/>
        <v xml:space="preserve"> </v>
      </c>
      <c r="M104" s="1342" t="str">
        <f t="shared" si="12"/>
        <v xml:space="preserve"> </v>
      </c>
      <c r="N104" s="1342" t="str">
        <f t="shared" si="14"/>
        <v xml:space="preserve"> </v>
      </c>
    </row>
    <row r="105" spans="3:14">
      <c r="C105" s="1806">
        <v>2831001</v>
      </c>
      <c r="D105" s="1349"/>
      <c r="E105" s="1806">
        <v>7522</v>
      </c>
      <c r="F105"/>
      <c r="G105" s="777" t="s">
        <v>1824</v>
      </c>
      <c r="H105" s="779">
        <v>-8569934.2699999996</v>
      </c>
      <c r="I105" s="780" t="s">
        <v>291</v>
      </c>
      <c r="J105" s="1342">
        <f t="shared" si="15"/>
        <v>-8569934.2699999996</v>
      </c>
      <c r="K105" s="1326" t="str">
        <f t="shared" si="10"/>
        <v xml:space="preserve"> </v>
      </c>
      <c r="L105" s="1326" t="str">
        <f t="shared" si="11"/>
        <v xml:space="preserve"> </v>
      </c>
      <c r="M105" s="1342" t="str">
        <f t="shared" si="12"/>
        <v xml:space="preserve"> </v>
      </c>
      <c r="N105" s="1342" t="str">
        <f t="shared" si="14"/>
        <v xml:space="preserve"> </v>
      </c>
    </row>
    <row r="106" spans="3:14">
      <c r="C106" s="1806">
        <v>2831001</v>
      </c>
      <c r="D106"/>
      <c r="E106" s="1806">
        <v>7523</v>
      </c>
      <c r="F106"/>
      <c r="G106" s="777" t="s">
        <v>1825</v>
      </c>
      <c r="H106" s="779">
        <v>-13819629.92</v>
      </c>
      <c r="I106" s="780" t="s">
        <v>291</v>
      </c>
      <c r="J106" s="1342">
        <f t="shared" si="15"/>
        <v>-13819629.92</v>
      </c>
      <c r="K106" s="1326" t="str">
        <f t="shared" si="10"/>
        <v xml:space="preserve"> </v>
      </c>
      <c r="L106" s="1326" t="str">
        <f t="shared" si="11"/>
        <v xml:space="preserve"> </v>
      </c>
      <c r="M106" s="1342" t="str">
        <f t="shared" si="12"/>
        <v xml:space="preserve"> </v>
      </c>
      <c r="N106" s="1342" t="str">
        <f t="shared" si="14"/>
        <v xml:space="preserve"> </v>
      </c>
    </row>
    <row r="107" spans="3:14">
      <c r="C107" s="1806">
        <v>2831001</v>
      </c>
      <c r="D107"/>
      <c r="E107" s="1806">
        <v>7527</v>
      </c>
      <c r="F107"/>
      <c r="G107" s="777" t="s">
        <v>1826</v>
      </c>
      <c r="H107" s="779">
        <v>256194.48</v>
      </c>
      <c r="I107" s="780" t="s">
        <v>291</v>
      </c>
      <c r="J107" s="1342">
        <f t="shared" ref="J107:J114" si="20">IF(I107="e",H107," ")</f>
        <v>256194.48</v>
      </c>
      <c r="K107" s="1326" t="str">
        <f t="shared" si="10"/>
        <v xml:space="preserve"> </v>
      </c>
      <c r="L107" s="1326" t="str">
        <f t="shared" si="11"/>
        <v xml:space="preserve"> </v>
      </c>
      <c r="M107" s="1342" t="str">
        <f t="shared" si="12"/>
        <v xml:space="preserve"> </v>
      </c>
      <c r="N107" s="1342" t="str">
        <f t="shared" ref="N107:N114" si="21">IF(I107="Labor",H107," ")</f>
        <v xml:space="preserve"> </v>
      </c>
    </row>
    <row r="108" spans="3:14">
      <c r="C108" s="1806">
        <v>2831001</v>
      </c>
      <c r="D108"/>
      <c r="E108" s="1806">
        <v>7528</v>
      </c>
      <c r="F108"/>
      <c r="G108" s="777" t="s">
        <v>1827</v>
      </c>
      <c r="H108" s="779">
        <v>-7398708.29</v>
      </c>
      <c r="I108" s="780" t="s">
        <v>291</v>
      </c>
      <c r="J108" s="1342">
        <f t="shared" si="20"/>
        <v>-7398708.29</v>
      </c>
      <c r="K108" s="1326" t="str">
        <f t="shared" si="10"/>
        <v xml:space="preserve"> </v>
      </c>
      <c r="L108" s="1326" t="str">
        <f t="shared" si="11"/>
        <v xml:space="preserve"> </v>
      </c>
      <c r="M108" s="1342" t="str">
        <f t="shared" si="12"/>
        <v xml:space="preserve"> </v>
      </c>
      <c r="N108" s="1342" t="str">
        <f t="shared" si="21"/>
        <v xml:space="preserve"> </v>
      </c>
    </row>
    <row r="109" spans="3:14">
      <c r="C109" s="1806">
        <v>2831001</v>
      </c>
      <c r="D109"/>
      <c r="E109" s="1806">
        <v>7529</v>
      </c>
      <c r="F109"/>
      <c r="G109" s="777" t="s">
        <v>1828</v>
      </c>
      <c r="H109" s="779">
        <v>445634.89</v>
      </c>
      <c r="I109" s="780" t="s">
        <v>291</v>
      </c>
      <c r="J109" s="1342">
        <f t="shared" si="20"/>
        <v>445634.89</v>
      </c>
      <c r="K109" s="1326" t="str">
        <f t="shared" si="10"/>
        <v xml:space="preserve"> </v>
      </c>
      <c r="L109" s="1326" t="str">
        <f t="shared" si="11"/>
        <v xml:space="preserve"> </v>
      </c>
      <c r="M109" s="1342" t="str">
        <f t="shared" si="12"/>
        <v xml:space="preserve"> </v>
      </c>
      <c r="N109" s="1342" t="str">
        <f t="shared" si="21"/>
        <v xml:space="preserve"> </v>
      </c>
    </row>
    <row r="110" spans="3:14">
      <c r="C110" s="1806">
        <v>2831001</v>
      </c>
      <c r="D110"/>
      <c r="E110" s="1806">
        <v>7531</v>
      </c>
      <c r="F110"/>
      <c r="G110" s="777" t="s">
        <v>1829</v>
      </c>
      <c r="H110" s="779">
        <v>618743.14</v>
      </c>
      <c r="I110" s="780" t="s">
        <v>291</v>
      </c>
      <c r="J110" s="1342">
        <f t="shared" si="20"/>
        <v>618743.14</v>
      </c>
      <c r="K110" s="1326" t="str">
        <f t="shared" si="10"/>
        <v xml:space="preserve"> </v>
      </c>
      <c r="L110" s="1326" t="str">
        <f t="shared" si="11"/>
        <v xml:space="preserve"> </v>
      </c>
      <c r="M110" s="1342" t="str">
        <f t="shared" si="12"/>
        <v xml:space="preserve"> </v>
      </c>
      <c r="N110" s="1342" t="str">
        <f t="shared" si="21"/>
        <v xml:space="preserve"> </v>
      </c>
    </row>
    <row r="111" spans="3:14">
      <c r="C111" s="1806">
        <v>2831001</v>
      </c>
      <c r="D111"/>
      <c r="E111" s="1806">
        <v>7532</v>
      </c>
      <c r="F111"/>
      <c r="G111" s="777" t="s">
        <v>1830</v>
      </c>
      <c r="H111" s="779">
        <v>-16978691.059999999</v>
      </c>
      <c r="I111" s="780" t="s">
        <v>291</v>
      </c>
      <c r="J111" s="1342">
        <f t="shared" si="20"/>
        <v>-16978691.059999999</v>
      </c>
      <c r="K111" s="1326" t="str">
        <f t="shared" si="10"/>
        <v xml:space="preserve"> </v>
      </c>
      <c r="L111" s="1326" t="str">
        <f t="shared" si="11"/>
        <v xml:space="preserve"> </v>
      </c>
      <c r="M111" s="1342" t="str">
        <f t="shared" si="12"/>
        <v xml:space="preserve"> </v>
      </c>
      <c r="N111" s="1342" t="str">
        <f t="shared" si="21"/>
        <v xml:space="preserve"> </v>
      </c>
    </row>
    <row r="112" spans="3:14">
      <c r="C112" s="1806">
        <v>2831001</v>
      </c>
      <c r="D112"/>
      <c r="E112" s="1806">
        <v>7533</v>
      </c>
      <c r="F112"/>
      <c r="G112" s="777" t="s">
        <v>1831</v>
      </c>
      <c r="H112" s="779">
        <v>-343350</v>
      </c>
      <c r="I112" s="780" t="s">
        <v>291</v>
      </c>
      <c r="J112" s="1342">
        <f t="shared" si="20"/>
        <v>-343350</v>
      </c>
      <c r="K112" s="1326" t="str">
        <f t="shared" si="10"/>
        <v xml:space="preserve"> </v>
      </c>
      <c r="L112" s="1326" t="str">
        <f t="shared" si="11"/>
        <v xml:space="preserve"> </v>
      </c>
      <c r="M112" s="1342" t="str">
        <f t="shared" si="12"/>
        <v xml:space="preserve"> </v>
      </c>
      <c r="N112" s="1342" t="str">
        <f t="shared" si="21"/>
        <v xml:space="preserve"> </v>
      </c>
    </row>
    <row r="113" spans="3:14">
      <c r="C113" s="1806">
        <v>2831001</v>
      </c>
      <c r="D113"/>
      <c r="E113" s="1806">
        <v>7538</v>
      </c>
      <c r="F113"/>
      <c r="G113" s="777" t="s">
        <v>1832</v>
      </c>
      <c r="H113" s="779">
        <v>0</v>
      </c>
      <c r="I113" s="780" t="s">
        <v>291</v>
      </c>
      <c r="J113" s="1342">
        <f t="shared" si="20"/>
        <v>0</v>
      </c>
      <c r="K113" s="1326" t="str">
        <f t="shared" si="10"/>
        <v xml:space="preserve"> </v>
      </c>
      <c r="L113" s="1326" t="str">
        <f t="shared" si="11"/>
        <v xml:space="preserve"> </v>
      </c>
      <c r="M113" s="1342" t="str">
        <f t="shared" si="12"/>
        <v xml:space="preserve"> </v>
      </c>
      <c r="N113" s="1342" t="str">
        <f t="shared" si="21"/>
        <v xml:space="preserve"> </v>
      </c>
    </row>
    <row r="114" spans="3:14">
      <c r="C114" s="1806">
        <v>2831001</v>
      </c>
      <c r="D114"/>
      <c r="E114" s="1806">
        <v>7540</v>
      </c>
      <c r="F114"/>
      <c r="G114" s="777" t="s">
        <v>1833</v>
      </c>
      <c r="H114" s="779">
        <v>-2086.9699999999998</v>
      </c>
      <c r="I114" s="780" t="s">
        <v>291</v>
      </c>
      <c r="J114" s="1342">
        <f t="shared" si="20"/>
        <v>-2086.9699999999998</v>
      </c>
      <c r="K114" s="1326" t="str">
        <f t="shared" si="10"/>
        <v xml:space="preserve"> </v>
      </c>
      <c r="L114" s="1326" t="str">
        <f t="shared" si="11"/>
        <v xml:space="preserve"> </v>
      </c>
      <c r="M114" s="1342" t="str">
        <f t="shared" si="12"/>
        <v xml:space="preserve"> </v>
      </c>
      <c r="N114" s="1342" t="str">
        <f t="shared" si="21"/>
        <v xml:space="preserve"> </v>
      </c>
    </row>
    <row r="115" spans="3:14">
      <c r="C115" s="1806">
        <v>2831001</v>
      </c>
      <c r="D115"/>
      <c r="E115" s="1806">
        <v>7544</v>
      </c>
      <c r="F115"/>
      <c r="G115" s="777" t="s">
        <v>1834</v>
      </c>
      <c r="H115" s="779">
        <v>0</v>
      </c>
      <c r="I115" s="780" t="s">
        <v>291</v>
      </c>
      <c r="J115" s="1342">
        <f t="shared" si="15"/>
        <v>0</v>
      </c>
      <c r="K115" s="1326" t="str">
        <f t="shared" si="10"/>
        <v xml:space="preserve"> </v>
      </c>
      <c r="L115" s="1326" t="str">
        <f t="shared" si="11"/>
        <v xml:space="preserve"> </v>
      </c>
      <c r="M115" s="1342" t="str">
        <f t="shared" si="12"/>
        <v xml:space="preserve"> </v>
      </c>
      <c r="N115" s="1342" t="str">
        <f t="shared" si="14"/>
        <v xml:space="preserve"> </v>
      </c>
    </row>
    <row r="116" spans="3:14">
      <c r="C116" s="1806">
        <v>2831001</v>
      </c>
      <c r="D116"/>
      <c r="E116" s="1806">
        <v>7559</v>
      </c>
      <c r="F116"/>
      <c r="G116" s="777" t="s">
        <v>1722</v>
      </c>
      <c r="H116" s="779">
        <v>-89361.77</v>
      </c>
      <c r="I116" s="780" t="s">
        <v>291</v>
      </c>
      <c r="J116" s="1342">
        <f t="shared" si="15"/>
        <v>-89361.77</v>
      </c>
      <c r="K116" s="1326" t="str">
        <f t="shared" si="10"/>
        <v xml:space="preserve"> </v>
      </c>
      <c r="L116" s="1326" t="str">
        <f t="shared" si="11"/>
        <v xml:space="preserve"> </v>
      </c>
      <c r="M116" s="1342" t="str">
        <f t="shared" si="12"/>
        <v xml:space="preserve"> </v>
      </c>
      <c r="N116" s="1342" t="str">
        <f t="shared" si="14"/>
        <v xml:space="preserve"> </v>
      </c>
    </row>
    <row r="117" spans="3:14">
      <c r="C117" s="1806">
        <v>2831001</v>
      </c>
      <c r="D117"/>
      <c r="E117" s="1806">
        <v>7567</v>
      </c>
      <c r="F117"/>
      <c r="G117" s="777" t="s">
        <v>1835</v>
      </c>
      <c r="H117" s="779">
        <v>-0.01</v>
      </c>
      <c r="I117" s="780" t="s">
        <v>291</v>
      </c>
      <c r="J117" s="1342">
        <f t="shared" si="15"/>
        <v>-0.01</v>
      </c>
      <c r="K117" s="1326" t="str">
        <f t="shared" si="10"/>
        <v xml:space="preserve"> </v>
      </c>
      <c r="L117" s="1326" t="str">
        <f t="shared" si="11"/>
        <v xml:space="preserve"> </v>
      </c>
      <c r="M117" s="1342" t="str">
        <f t="shared" si="12"/>
        <v xml:space="preserve"> </v>
      </c>
      <c r="N117" s="1342" t="str">
        <f t="shared" si="14"/>
        <v xml:space="preserve"> </v>
      </c>
    </row>
    <row r="118" spans="3:14">
      <c r="C118" s="1806">
        <v>2831001</v>
      </c>
      <c r="D118"/>
      <c r="E118" s="1806">
        <v>7571</v>
      </c>
      <c r="F118"/>
      <c r="G118" s="777" t="s">
        <v>1723</v>
      </c>
      <c r="H118" s="779">
        <v>-871158.74</v>
      </c>
      <c r="I118" s="780" t="s">
        <v>158</v>
      </c>
      <c r="J118" s="1342" t="str">
        <f t="shared" si="15"/>
        <v xml:space="preserve"> </v>
      </c>
      <c r="K118" s="1326" t="str">
        <f t="shared" si="10"/>
        <v xml:space="preserve"> </v>
      </c>
      <c r="L118" s="1326">
        <f t="shared" si="11"/>
        <v>-871158.74</v>
      </c>
      <c r="M118" s="1342" t="str">
        <f t="shared" si="12"/>
        <v xml:space="preserve"> </v>
      </c>
      <c r="N118" s="1342" t="str">
        <f t="shared" si="14"/>
        <v xml:space="preserve"> </v>
      </c>
    </row>
    <row r="119" spans="3:14">
      <c r="C119" s="1806">
        <v>2831001</v>
      </c>
      <c r="D119"/>
      <c r="E119" s="1806">
        <v>7572</v>
      </c>
      <c r="F119"/>
      <c r="G119" s="777" t="s">
        <v>1836</v>
      </c>
      <c r="H119" s="779">
        <v>0.54</v>
      </c>
      <c r="I119" s="780" t="s">
        <v>158</v>
      </c>
      <c r="J119" s="1342" t="str">
        <f t="shared" si="15"/>
        <v xml:space="preserve"> </v>
      </c>
      <c r="K119" s="1326" t="str">
        <f t="shared" ref="K119:K130" si="22">IF($I119="T",$H119," ")</f>
        <v xml:space="preserve"> </v>
      </c>
      <c r="L119" s="1326">
        <f t="shared" ref="L119:L130" si="23">IF($I119="PTD",$H119," ")</f>
        <v>0.54</v>
      </c>
      <c r="M119" s="1342" t="str">
        <f t="shared" ref="M119:M130" si="24">IF($I119="T&amp;D",$H119," ")</f>
        <v xml:space="preserve"> </v>
      </c>
      <c r="N119" s="1342" t="str">
        <f t="shared" si="14"/>
        <v xml:space="preserve"> </v>
      </c>
    </row>
    <row r="120" spans="3:14">
      <c r="C120" s="1806">
        <v>2831001</v>
      </c>
      <c r="D120"/>
      <c r="E120" s="1806">
        <v>7575</v>
      </c>
      <c r="F120"/>
      <c r="G120" s="777" t="s">
        <v>1724</v>
      </c>
      <c r="H120" s="779">
        <v>-16535281.09</v>
      </c>
      <c r="I120" s="780" t="s">
        <v>300</v>
      </c>
      <c r="J120" s="1342" t="str">
        <f t="shared" ref="J120:J128" si="25">IF(I120="e",H120," ")</f>
        <v xml:space="preserve"> </v>
      </c>
      <c r="K120" s="1326" t="str">
        <f t="shared" si="22"/>
        <v xml:space="preserve"> </v>
      </c>
      <c r="L120" s="1326" t="str">
        <f t="shared" si="23"/>
        <v xml:space="preserve"> </v>
      </c>
      <c r="M120" s="1342" t="str">
        <f t="shared" si="24"/>
        <v xml:space="preserve"> </v>
      </c>
      <c r="N120" s="1342">
        <f t="shared" ref="N120:N128" si="26">IF(I120="Labor",H120," ")</f>
        <v>-16535281.09</v>
      </c>
    </row>
    <row r="121" spans="3:14">
      <c r="C121" s="1806">
        <v>2831001</v>
      </c>
      <c r="D121"/>
      <c r="E121" s="1806">
        <v>7580</v>
      </c>
      <c r="F121"/>
      <c r="G121" s="777" t="s">
        <v>1748</v>
      </c>
      <c r="H121" s="779">
        <v>1713723.15</v>
      </c>
      <c r="I121" s="780" t="s">
        <v>300</v>
      </c>
      <c r="J121" s="1342" t="str">
        <f t="shared" si="25"/>
        <v xml:space="preserve"> </v>
      </c>
      <c r="K121" s="1326" t="str">
        <f t="shared" si="22"/>
        <v xml:space="preserve"> </v>
      </c>
      <c r="L121" s="1326" t="str">
        <f t="shared" si="23"/>
        <v xml:space="preserve"> </v>
      </c>
      <c r="M121" s="1342" t="str">
        <f t="shared" si="24"/>
        <v xml:space="preserve"> </v>
      </c>
      <c r="N121" s="1342">
        <f t="shared" si="26"/>
        <v>1713723.15</v>
      </c>
    </row>
    <row r="122" spans="3:14">
      <c r="C122" s="1806">
        <v>2831001</v>
      </c>
      <c r="D122"/>
      <c r="E122" s="1806">
        <v>7583</v>
      </c>
      <c r="F122"/>
      <c r="G122" s="777" t="s">
        <v>1725</v>
      </c>
      <c r="H122" s="779">
        <v>-111994.14</v>
      </c>
      <c r="I122" s="780" t="s">
        <v>291</v>
      </c>
      <c r="J122" s="1342">
        <f t="shared" si="25"/>
        <v>-111994.14</v>
      </c>
      <c r="K122" s="1326" t="str">
        <f t="shared" si="22"/>
        <v xml:space="preserve"> </v>
      </c>
      <c r="L122" s="1326" t="str">
        <f t="shared" si="23"/>
        <v xml:space="preserve"> </v>
      </c>
      <c r="M122" s="1342" t="str">
        <f t="shared" si="24"/>
        <v xml:space="preserve"> </v>
      </c>
      <c r="N122" s="1342" t="str">
        <f t="shared" si="26"/>
        <v xml:space="preserve"> </v>
      </c>
    </row>
    <row r="123" spans="3:14">
      <c r="C123" s="1806">
        <v>2831001</v>
      </c>
      <c r="D123"/>
      <c r="E123" s="1806">
        <v>7592</v>
      </c>
      <c r="F123"/>
      <c r="G123" s="777" t="s">
        <v>1837</v>
      </c>
      <c r="H123" s="779">
        <v>-0.01</v>
      </c>
      <c r="I123" s="780" t="s">
        <v>291</v>
      </c>
      <c r="J123" s="1342">
        <f t="shared" si="25"/>
        <v>-0.01</v>
      </c>
      <c r="K123" s="1326" t="str">
        <f t="shared" si="22"/>
        <v xml:space="preserve"> </v>
      </c>
      <c r="L123" s="1326" t="str">
        <f t="shared" si="23"/>
        <v xml:space="preserve"> </v>
      </c>
      <c r="M123" s="1342" t="str">
        <f t="shared" si="24"/>
        <v xml:space="preserve"> </v>
      </c>
      <c r="N123" s="1342" t="str">
        <f t="shared" si="26"/>
        <v xml:space="preserve"> </v>
      </c>
    </row>
    <row r="124" spans="3:14">
      <c r="C124" s="1806">
        <v>2831001</v>
      </c>
      <c r="D124"/>
      <c r="E124" s="1806">
        <v>7594</v>
      </c>
      <c r="F124"/>
      <c r="G124" s="777" t="s">
        <v>1838</v>
      </c>
      <c r="H124" s="779">
        <v>-1272650.19</v>
      </c>
      <c r="I124" s="780" t="s">
        <v>291</v>
      </c>
      <c r="J124" s="1342">
        <f t="shared" si="25"/>
        <v>-1272650.19</v>
      </c>
      <c r="K124" s="1326" t="str">
        <f t="shared" si="22"/>
        <v xml:space="preserve"> </v>
      </c>
      <c r="L124" s="1326" t="str">
        <f t="shared" si="23"/>
        <v xml:space="preserve"> </v>
      </c>
      <c r="M124" s="1342" t="str">
        <f t="shared" si="24"/>
        <v xml:space="preserve"> </v>
      </c>
      <c r="N124" s="1342" t="str">
        <f t="shared" si="26"/>
        <v xml:space="preserve"> </v>
      </c>
    </row>
    <row r="125" spans="3:14">
      <c r="C125" s="1806">
        <v>2831001</v>
      </c>
      <c r="D125"/>
      <c r="E125" s="1806">
        <v>8023</v>
      </c>
      <c r="F125"/>
      <c r="G125" s="777" t="s">
        <v>1726</v>
      </c>
      <c r="H125" s="779">
        <v>-34180.86</v>
      </c>
      <c r="I125" s="780" t="s">
        <v>291</v>
      </c>
      <c r="J125" s="1342">
        <f t="shared" si="25"/>
        <v>-34180.86</v>
      </c>
      <c r="K125" s="1326" t="str">
        <f t="shared" si="22"/>
        <v xml:space="preserve"> </v>
      </c>
      <c r="L125" s="1326" t="str">
        <f t="shared" si="23"/>
        <v xml:space="preserve"> </v>
      </c>
      <c r="M125" s="1342" t="str">
        <f t="shared" si="24"/>
        <v xml:space="preserve"> </v>
      </c>
      <c r="N125" s="1342" t="str">
        <f t="shared" si="26"/>
        <v xml:space="preserve"> </v>
      </c>
    </row>
    <row r="126" spans="3:14">
      <c r="C126" s="1806">
        <v>2831001</v>
      </c>
      <c r="D126"/>
      <c r="E126" s="1806">
        <v>8028</v>
      </c>
      <c r="F126"/>
      <c r="G126" s="777" t="s">
        <v>1843</v>
      </c>
      <c r="H126" s="779">
        <v>8788219.0199999996</v>
      </c>
      <c r="I126" s="780" t="s">
        <v>291</v>
      </c>
      <c r="J126" s="1342">
        <f t="shared" si="25"/>
        <v>8788219.0199999996</v>
      </c>
      <c r="K126" s="1326" t="str">
        <f t="shared" si="22"/>
        <v xml:space="preserve"> </v>
      </c>
      <c r="L126" s="1326" t="str">
        <f t="shared" si="23"/>
        <v xml:space="preserve"> </v>
      </c>
      <c r="M126" s="1342" t="str">
        <f t="shared" si="24"/>
        <v xml:space="preserve"> </v>
      </c>
      <c r="N126" s="1342" t="str">
        <f t="shared" si="26"/>
        <v xml:space="preserve"> </v>
      </c>
    </row>
    <row r="127" spans="3:14">
      <c r="C127" s="1806">
        <v>2831001</v>
      </c>
      <c r="D127"/>
      <c r="E127" s="1806">
        <v>8030</v>
      </c>
      <c r="F127"/>
      <c r="G127" s="777" t="s">
        <v>1844</v>
      </c>
      <c r="H127" s="779">
        <v>833461.23</v>
      </c>
      <c r="I127" s="780" t="s">
        <v>291</v>
      </c>
      <c r="J127" s="1342">
        <f t="shared" si="25"/>
        <v>833461.23</v>
      </c>
      <c r="K127" s="1326" t="str">
        <f t="shared" si="22"/>
        <v xml:space="preserve"> </v>
      </c>
      <c r="L127" s="1326" t="str">
        <f t="shared" si="23"/>
        <v xml:space="preserve"> </v>
      </c>
      <c r="M127" s="1342" t="str">
        <f t="shared" si="24"/>
        <v xml:space="preserve"> </v>
      </c>
      <c r="N127" s="1342" t="str">
        <f t="shared" si="26"/>
        <v xml:space="preserve"> </v>
      </c>
    </row>
    <row r="128" spans="3:14">
      <c r="C128" s="1806">
        <v>2831001</v>
      </c>
      <c r="D128"/>
      <c r="E128" s="1806">
        <v>8053</v>
      </c>
      <c r="F128"/>
      <c r="G128" s="777" t="s">
        <v>1727</v>
      </c>
      <c r="H128" s="779">
        <v>3842727.31</v>
      </c>
      <c r="I128" s="780" t="s">
        <v>300</v>
      </c>
      <c r="J128" s="1342" t="str">
        <f t="shared" si="25"/>
        <v xml:space="preserve"> </v>
      </c>
      <c r="K128" s="1326" t="str">
        <f t="shared" si="22"/>
        <v xml:space="preserve"> </v>
      </c>
      <c r="L128" s="1326" t="str">
        <f t="shared" si="23"/>
        <v xml:space="preserve"> </v>
      </c>
      <c r="M128" s="1342" t="str">
        <f t="shared" si="24"/>
        <v xml:space="preserve"> </v>
      </c>
      <c r="N128" s="1342">
        <f t="shared" si="26"/>
        <v>3842727.31</v>
      </c>
    </row>
    <row r="129" spans="3:17">
      <c r="C129" s="1819"/>
      <c r="D129"/>
      <c r="E129" s="1818"/>
      <c r="F129"/>
      <c r="G129" s="778"/>
      <c r="H129" s="799"/>
      <c r="I129" s="806"/>
      <c r="J129" s="1342" t="str">
        <f t="shared" ref="J129:J130" si="27">IF(I129="e",H129," ")</f>
        <v xml:space="preserve"> </v>
      </c>
      <c r="K129" s="1326" t="str">
        <f t="shared" si="22"/>
        <v xml:space="preserve"> </v>
      </c>
      <c r="L129" s="1326" t="str">
        <f t="shared" si="23"/>
        <v xml:space="preserve"> </v>
      </c>
      <c r="M129" s="1342" t="str">
        <f t="shared" si="24"/>
        <v xml:space="preserve"> </v>
      </c>
      <c r="N129" s="1342" t="str">
        <f t="shared" ref="N129:N130" si="28">IF(I129="Labor",H129," ")</f>
        <v xml:space="preserve"> </v>
      </c>
      <c r="P129" s="1326"/>
    </row>
    <row r="130" spans="3:17">
      <c r="C130" s="1806">
        <v>2831002</v>
      </c>
      <c r="D130" s="1349" t="s">
        <v>337</v>
      </c>
      <c r="E130" s="1806">
        <v>7202</v>
      </c>
      <c r="F130" s="778"/>
      <c r="G130" s="777" t="s">
        <v>1758</v>
      </c>
      <c r="H130" s="779">
        <v>0</v>
      </c>
      <c r="I130" s="780"/>
      <c r="J130" s="1342" t="str">
        <f t="shared" si="27"/>
        <v xml:space="preserve"> </v>
      </c>
      <c r="K130" s="1326" t="str">
        <f t="shared" si="22"/>
        <v xml:space="preserve"> </v>
      </c>
      <c r="L130" s="1326" t="str">
        <f t="shared" si="23"/>
        <v xml:space="preserve"> </v>
      </c>
      <c r="M130" s="1342" t="str">
        <f t="shared" si="24"/>
        <v xml:space="preserve"> </v>
      </c>
      <c r="N130" s="1342" t="str">
        <f t="shared" si="28"/>
        <v xml:space="preserve"> </v>
      </c>
    </row>
    <row r="131" spans="3:17">
      <c r="D131" s="286"/>
      <c r="H131" s="1326"/>
      <c r="I131" s="1326"/>
      <c r="J131" s="1348" t="str">
        <f>IF(I131="e",H131," ")</f>
        <v xml:space="preserve"> </v>
      </c>
      <c r="K131" s="1348"/>
      <c r="L131" s="1348" t="str">
        <f>IF($I131="PTD",$H131," ")</f>
        <v xml:space="preserve"> </v>
      </c>
      <c r="M131" s="1348" t="str">
        <f>IF($I131="T&amp;D",$H131," ")</f>
        <v xml:space="preserve"> </v>
      </c>
      <c r="N131" s="1348" t="str">
        <f>IF(I131="Labor",H131," ")</f>
        <v xml:space="preserve"> </v>
      </c>
    </row>
    <row r="132" spans="3:17" ht="13">
      <c r="C132" s="33">
        <v>283.10000000000002</v>
      </c>
      <c r="D132" s="286"/>
      <c r="G132" s="561" t="s">
        <v>159</v>
      </c>
      <c r="H132" s="801">
        <f>SUM(H50:H131)</f>
        <v>-144255274.30000001</v>
      </c>
      <c r="I132" s="1326"/>
      <c r="J132" s="801">
        <f>SUM(J50:J131)</f>
        <v>-78936960.470000029</v>
      </c>
      <c r="K132" s="801">
        <f>SUM(K50:K131)</f>
        <v>0</v>
      </c>
      <c r="L132" s="801">
        <f>SUM(L50:L131)</f>
        <v>-42901661.090000004</v>
      </c>
      <c r="M132" s="801">
        <f>SUM(M50:M131)</f>
        <v>0</v>
      </c>
      <c r="N132" s="801">
        <f>SUM(N50:N131)</f>
        <v>-22416652.740000002</v>
      </c>
      <c r="O132"/>
      <c r="P132" s="1326">
        <f>SUM(J132:O132)</f>
        <v>-144255274.30000004</v>
      </c>
      <c r="Q132" s="1326"/>
    </row>
    <row r="133" spans="3:17" ht="25.5" customHeight="1">
      <c r="C133" s="802"/>
      <c r="D133" s="286"/>
      <c r="G133" s="1346" t="s">
        <v>110</v>
      </c>
      <c r="H133" s="1340">
        <v>-144255274</v>
      </c>
      <c r="I133" s="466"/>
      <c r="J133" s="1347"/>
      <c r="K133" s="803"/>
      <c r="L133" s="803"/>
      <c r="M133" s="803"/>
      <c r="N133" s="803"/>
    </row>
    <row r="134" spans="3:17">
      <c r="G134" s="1350"/>
      <c r="H134" s="1348"/>
      <c r="I134" s="1326"/>
      <c r="J134" s="1326"/>
      <c r="K134" s="1326"/>
      <c r="L134" s="1326"/>
      <c r="M134" s="1326"/>
      <c r="N134" s="1326"/>
    </row>
    <row r="135" spans="3:17">
      <c r="H135" s="1348"/>
      <c r="I135" s="1326"/>
      <c r="J135" s="1326"/>
      <c r="K135" s="1326"/>
      <c r="L135" s="1326"/>
      <c r="M135" s="1326"/>
      <c r="N135" s="1326"/>
    </row>
    <row r="136" spans="3:17">
      <c r="C136" s="1806">
        <v>1901001</v>
      </c>
      <c r="D136" s="1351" t="s">
        <v>337</v>
      </c>
      <c r="E136" s="1806">
        <v>3501</v>
      </c>
      <c r="F136" s="778"/>
      <c r="G136" s="777" t="s">
        <v>1755</v>
      </c>
      <c r="H136" s="779">
        <v>64441865</v>
      </c>
      <c r="I136" s="780" t="s">
        <v>291</v>
      </c>
      <c r="J136" s="1342">
        <f t="shared" ref="J136:J195" si="29">IF(I136="e",H136," ")</f>
        <v>64441865</v>
      </c>
      <c r="K136" s="1326" t="str">
        <f t="shared" ref="K136:K201" si="30">IF($I136="T",$H136," ")</f>
        <v xml:space="preserve"> </v>
      </c>
      <c r="L136" s="1326" t="str">
        <f t="shared" ref="L136:L201" si="31">IF($I136="PTD",$H136," ")</f>
        <v xml:space="preserve"> </v>
      </c>
      <c r="M136" s="1342" t="str">
        <f t="shared" ref="M136:M201" si="32">IF($I136="T&amp;D",$H136," ")</f>
        <v xml:space="preserve"> </v>
      </c>
      <c r="N136" s="1342" t="str">
        <f t="shared" ref="N136:N195" si="33">IF(I136="Labor",H136," ")</f>
        <v xml:space="preserve"> </v>
      </c>
    </row>
    <row r="137" spans="3:17">
      <c r="C137" s="1806">
        <v>1901001</v>
      </c>
      <c r="D137" s="1351" t="s">
        <v>337</v>
      </c>
      <c r="E137" s="1806">
        <v>3502</v>
      </c>
      <c r="F137" s="778"/>
      <c r="G137" s="777" t="s">
        <v>1845</v>
      </c>
      <c r="H137" s="779">
        <v>4169956</v>
      </c>
      <c r="I137" s="780" t="s">
        <v>291</v>
      </c>
      <c r="J137" s="1342">
        <f t="shared" si="29"/>
        <v>4169956</v>
      </c>
      <c r="K137" s="1326" t="str">
        <f t="shared" si="30"/>
        <v xml:space="preserve"> </v>
      </c>
      <c r="L137" s="1326" t="str">
        <f t="shared" si="31"/>
        <v xml:space="preserve"> </v>
      </c>
      <c r="M137" s="1342" t="str">
        <f t="shared" si="32"/>
        <v xml:space="preserve"> </v>
      </c>
      <c r="N137" s="1342" t="str">
        <f t="shared" si="33"/>
        <v xml:space="preserve"> </v>
      </c>
    </row>
    <row r="138" spans="3:17">
      <c r="C138" s="1806">
        <v>1901001</v>
      </c>
      <c r="D138" s="1351" t="s">
        <v>337</v>
      </c>
      <c r="E138" s="1806">
        <v>4041</v>
      </c>
      <c r="F138" s="778"/>
      <c r="G138" s="777" t="s">
        <v>1757</v>
      </c>
      <c r="H138" s="779">
        <v>-0.16</v>
      </c>
      <c r="I138" s="780" t="s">
        <v>291</v>
      </c>
      <c r="J138" s="1342">
        <f t="shared" si="29"/>
        <v>-0.16</v>
      </c>
      <c r="K138" s="1326" t="str">
        <f t="shared" si="30"/>
        <v xml:space="preserve"> </v>
      </c>
      <c r="L138" s="1326" t="str">
        <f t="shared" si="31"/>
        <v xml:space="preserve"> </v>
      </c>
      <c r="M138" s="1342" t="str">
        <f t="shared" si="32"/>
        <v xml:space="preserve"> </v>
      </c>
      <c r="N138" s="1342" t="str">
        <f t="shared" si="33"/>
        <v xml:space="preserve"> </v>
      </c>
    </row>
    <row r="139" spans="3:17">
      <c r="C139" s="1806">
        <v>1901001</v>
      </c>
      <c r="D139" s="1351" t="s">
        <v>337</v>
      </c>
      <c r="E139" s="1806">
        <v>6018</v>
      </c>
      <c r="F139" s="778"/>
      <c r="G139" s="777" t="s">
        <v>1682</v>
      </c>
      <c r="H139" s="779">
        <v>497447.55000000005</v>
      </c>
      <c r="I139" s="780" t="s">
        <v>158</v>
      </c>
      <c r="J139" s="1342"/>
      <c r="K139" s="1326"/>
      <c r="L139" s="1326">
        <f>H139</f>
        <v>497447.55000000005</v>
      </c>
      <c r="M139" s="1342"/>
      <c r="N139" s="1342"/>
    </row>
    <row r="140" spans="3:17">
      <c r="C140" s="1806">
        <v>1901001</v>
      </c>
      <c r="D140" s="1351" t="s">
        <v>337</v>
      </c>
      <c r="E140" s="1806">
        <v>6026</v>
      </c>
      <c r="F140" s="778"/>
      <c r="G140" s="777" t="s">
        <v>1687</v>
      </c>
      <c r="H140" s="779">
        <v>436.54</v>
      </c>
      <c r="I140" s="780" t="s">
        <v>300</v>
      </c>
      <c r="J140" s="1342"/>
      <c r="K140" s="1326"/>
      <c r="L140" s="1326"/>
      <c r="M140" s="1342"/>
      <c r="N140" s="1342">
        <f>H140</f>
        <v>436.54</v>
      </c>
    </row>
    <row r="141" spans="3:17">
      <c r="C141" s="1806">
        <v>1901001</v>
      </c>
      <c r="D141" s="1351" t="s">
        <v>337</v>
      </c>
      <c r="E141" s="1806">
        <v>6507</v>
      </c>
      <c r="F141" s="778"/>
      <c r="G141" s="777" t="s">
        <v>1766</v>
      </c>
      <c r="H141" s="779">
        <v>15910349.800000001</v>
      </c>
      <c r="I141" s="780" t="s">
        <v>291</v>
      </c>
      <c r="J141" s="1342">
        <f>H141</f>
        <v>15910349.800000001</v>
      </c>
      <c r="K141" s="1326"/>
      <c r="L141" s="1326"/>
      <c r="M141" s="1342"/>
      <c r="N141" s="1342"/>
    </row>
    <row r="142" spans="3:17">
      <c r="C142" s="1806">
        <v>1901001</v>
      </c>
      <c r="D142" s="1351" t="s">
        <v>337</v>
      </c>
      <c r="E142" s="1806">
        <v>6508</v>
      </c>
      <c r="F142" s="778"/>
      <c r="G142" s="777" t="s">
        <v>1767</v>
      </c>
      <c r="H142" s="779">
        <v>3039729.84</v>
      </c>
      <c r="I142" s="780" t="s">
        <v>291</v>
      </c>
      <c r="J142" s="1342">
        <f t="shared" ref="J142:J155" si="34">H142</f>
        <v>3039729.84</v>
      </c>
      <c r="K142" s="1326"/>
      <c r="L142" s="1326"/>
      <c r="M142" s="1342"/>
      <c r="N142" s="1342"/>
    </row>
    <row r="143" spans="3:17">
      <c r="C143" s="1806">
        <v>1901001</v>
      </c>
      <c r="D143" s="1351" t="s">
        <v>337</v>
      </c>
      <c r="E143" s="1806">
        <v>6509</v>
      </c>
      <c r="F143" s="778"/>
      <c r="G143" s="777" t="s">
        <v>1768</v>
      </c>
      <c r="H143" s="779">
        <v>1344869.35</v>
      </c>
      <c r="I143" s="780" t="s">
        <v>291</v>
      </c>
      <c r="J143" s="1342">
        <f t="shared" si="34"/>
        <v>1344869.35</v>
      </c>
      <c r="K143" s="1326"/>
      <c r="L143" s="1326"/>
      <c r="M143" s="1342"/>
      <c r="N143" s="1342"/>
    </row>
    <row r="144" spans="3:17">
      <c r="C144" s="1806">
        <v>1901001</v>
      </c>
      <c r="D144" s="1351" t="s">
        <v>337</v>
      </c>
      <c r="E144" s="1806">
        <v>6510</v>
      </c>
      <c r="F144" s="778"/>
      <c r="G144" s="777" t="s">
        <v>1769</v>
      </c>
      <c r="H144" s="779">
        <v>861751.19</v>
      </c>
      <c r="I144" s="780" t="s">
        <v>291</v>
      </c>
      <c r="J144" s="1342">
        <f t="shared" si="34"/>
        <v>861751.19</v>
      </c>
      <c r="K144" s="1326"/>
      <c r="L144" s="1326"/>
      <c r="M144" s="1342"/>
      <c r="N144" s="1342"/>
    </row>
    <row r="145" spans="3:14">
      <c r="C145" s="1806">
        <v>1901001</v>
      </c>
      <c r="D145" s="1351" t="s">
        <v>337</v>
      </c>
      <c r="E145" s="1806">
        <v>6511</v>
      </c>
      <c r="F145" s="778"/>
      <c r="G145" s="777" t="s">
        <v>1770</v>
      </c>
      <c r="H145" s="779">
        <v>-73318.570000000007</v>
      </c>
      <c r="I145" s="780" t="s">
        <v>291</v>
      </c>
      <c r="J145" s="1342">
        <f t="shared" si="34"/>
        <v>-73318.570000000007</v>
      </c>
      <c r="K145" s="1326"/>
      <c r="L145" s="1326"/>
      <c r="M145" s="1342"/>
      <c r="N145" s="1342"/>
    </row>
    <row r="146" spans="3:14">
      <c r="C146" s="1806">
        <v>1901001</v>
      </c>
      <c r="D146" s="1351"/>
      <c r="E146" s="1806">
        <v>6512</v>
      </c>
      <c r="F146" s="778"/>
      <c r="G146" s="777" t="s">
        <v>1771</v>
      </c>
      <c r="H146" s="779">
        <v>-190698.07</v>
      </c>
      <c r="I146" s="780" t="s">
        <v>291</v>
      </c>
      <c r="J146" s="1342">
        <f t="shared" si="34"/>
        <v>-190698.07</v>
      </c>
      <c r="K146" s="1326"/>
      <c r="L146" s="1326"/>
      <c r="M146" s="1342"/>
      <c r="N146" s="1342"/>
    </row>
    <row r="147" spans="3:14">
      <c r="C147" s="1806">
        <v>1901001</v>
      </c>
      <c r="D147" s="1351" t="s">
        <v>337</v>
      </c>
      <c r="E147" s="1806">
        <v>6513</v>
      </c>
      <c r="F147" s="778"/>
      <c r="G147" s="777" t="s">
        <v>1772</v>
      </c>
      <c r="H147" s="779">
        <v>42674.67</v>
      </c>
      <c r="I147" s="780" t="s">
        <v>291</v>
      </c>
      <c r="J147" s="1342">
        <f t="shared" si="34"/>
        <v>42674.67</v>
      </c>
      <c r="K147" s="1326"/>
      <c r="L147" s="1326"/>
      <c r="M147" s="1342"/>
      <c r="N147" s="1342"/>
    </row>
    <row r="148" spans="3:14">
      <c r="C148" s="1806">
        <v>1901001</v>
      </c>
      <c r="D148" s="1351" t="s">
        <v>337</v>
      </c>
      <c r="E148" s="1806">
        <v>6514</v>
      </c>
      <c r="F148" s="778"/>
      <c r="G148" s="777" t="s">
        <v>1773</v>
      </c>
      <c r="H148" s="779">
        <v>33179.629999999997</v>
      </c>
      <c r="I148" s="780" t="s">
        <v>291</v>
      </c>
      <c r="J148" s="1342">
        <f t="shared" si="34"/>
        <v>33179.629999999997</v>
      </c>
      <c r="K148" s="1326"/>
      <c r="L148" s="1326"/>
      <c r="M148" s="1342"/>
      <c r="N148" s="1342"/>
    </row>
    <row r="149" spans="3:14">
      <c r="C149" s="1806">
        <v>1901001</v>
      </c>
      <c r="D149" s="1351" t="s">
        <v>337</v>
      </c>
      <c r="E149" s="1806">
        <v>6515</v>
      </c>
      <c r="F149" s="778"/>
      <c r="G149" s="777" t="s">
        <v>1774</v>
      </c>
      <c r="H149" s="779">
        <v>60010.5</v>
      </c>
      <c r="I149" s="780" t="s">
        <v>291</v>
      </c>
      <c r="J149" s="1342">
        <f t="shared" si="34"/>
        <v>60010.5</v>
      </c>
      <c r="K149" s="1326"/>
      <c r="L149" s="1326"/>
      <c r="M149" s="1342"/>
      <c r="N149" s="1342"/>
    </row>
    <row r="150" spans="3:14">
      <c r="C150" s="1806">
        <v>1901001</v>
      </c>
      <c r="D150" s="1351" t="s">
        <v>337</v>
      </c>
      <c r="E150" s="1806">
        <v>6516</v>
      </c>
      <c r="F150" s="778"/>
      <c r="G150" s="777" t="s">
        <v>1775</v>
      </c>
      <c r="H150" s="779">
        <v>585155.85</v>
      </c>
      <c r="I150" s="780" t="s">
        <v>291</v>
      </c>
      <c r="J150" s="1342">
        <f t="shared" si="34"/>
        <v>585155.85</v>
      </c>
      <c r="K150" s="1326"/>
      <c r="L150" s="1326"/>
      <c r="M150" s="1342"/>
      <c r="N150" s="1342"/>
    </row>
    <row r="151" spans="3:14">
      <c r="C151" s="1806">
        <v>1901001</v>
      </c>
      <c r="D151" s="1351" t="s">
        <v>337</v>
      </c>
      <c r="E151" s="1806">
        <v>6517</v>
      </c>
      <c r="F151" s="778"/>
      <c r="G151" s="777" t="s">
        <v>1776</v>
      </c>
      <c r="H151" s="779">
        <v>1512676.32</v>
      </c>
      <c r="I151" s="780" t="s">
        <v>291</v>
      </c>
      <c r="J151" s="1342">
        <f t="shared" si="34"/>
        <v>1512676.32</v>
      </c>
      <c r="K151" s="1326"/>
      <c r="L151" s="1326"/>
      <c r="M151" s="1342"/>
      <c r="N151" s="1342"/>
    </row>
    <row r="152" spans="3:14">
      <c r="C152" s="1806">
        <v>1901001</v>
      </c>
      <c r="D152" s="1351" t="s">
        <v>337</v>
      </c>
      <c r="E152" s="1806">
        <v>6518</v>
      </c>
      <c r="F152" s="778"/>
      <c r="G152" s="777" t="s">
        <v>1777</v>
      </c>
      <c r="H152" s="779">
        <v>643111.53</v>
      </c>
      <c r="I152" s="780" t="s">
        <v>291</v>
      </c>
      <c r="J152" s="1342">
        <f t="shared" si="34"/>
        <v>643111.53</v>
      </c>
      <c r="K152" s="1326"/>
      <c r="L152" s="1326"/>
      <c r="M152" s="1342"/>
      <c r="N152" s="1342"/>
    </row>
    <row r="153" spans="3:14">
      <c r="C153" s="1806">
        <v>1901001</v>
      </c>
      <c r="D153" s="1351" t="s">
        <v>337</v>
      </c>
      <c r="E153" s="1806">
        <v>6519</v>
      </c>
      <c r="F153" s="778"/>
      <c r="G153" s="777" t="s">
        <v>1778</v>
      </c>
      <c r="H153" s="779">
        <v>5223.54</v>
      </c>
      <c r="I153" s="780" t="s">
        <v>291</v>
      </c>
      <c r="J153" s="1342">
        <f t="shared" si="34"/>
        <v>5223.54</v>
      </c>
      <c r="K153" s="1326"/>
      <c r="L153" s="1326"/>
      <c r="M153" s="1342"/>
      <c r="N153" s="1342"/>
    </row>
    <row r="154" spans="3:14">
      <c r="C154" s="1806">
        <v>1901001</v>
      </c>
      <c r="D154" s="1351" t="s">
        <v>337</v>
      </c>
      <c r="E154" s="1806">
        <v>6520</v>
      </c>
      <c r="F154" s="778"/>
      <c r="G154" s="777" t="s">
        <v>1779</v>
      </c>
      <c r="H154" s="779">
        <v>50182.34</v>
      </c>
      <c r="I154" s="780" t="s">
        <v>291</v>
      </c>
      <c r="J154" s="1342">
        <f t="shared" si="34"/>
        <v>50182.34</v>
      </c>
      <c r="K154" s="1326"/>
      <c r="L154" s="1326"/>
      <c r="M154" s="1342"/>
      <c r="N154" s="1342"/>
    </row>
    <row r="155" spans="3:14">
      <c r="C155" s="1806">
        <v>1901001</v>
      </c>
      <c r="D155" s="1351"/>
      <c r="E155" s="1806">
        <v>6521</v>
      </c>
      <c r="F155" s="778"/>
      <c r="G155" s="777" t="s">
        <v>1780</v>
      </c>
      <c r="H155" s="779">
        <v>-12521.33</v>
      </c>
      <c r="I155" s="780" t="s">
        <v>291</v>
      </c>
      <c r="J155" s="1342">
        <f t="shared" si="34"/>
        <v>-12521.33</v>
      </c>
      <c r="K155" s="1326"/>
      <c r="L155" s="1326"/>
      <c r="M155" s="1342"/>
      <c r="N155" s="1342"/>
    </row>
    <row r="156" spans="3:14">
      <c r="C156" s="1806">
        <v>1901001</v>
      </c>
      <c r="D156" s="1351" t="s">
        <v>337</v>
      </c>
      <c r="E156" s="1806">
        <v>7002</v>
      </c>
      <c r="F156" s="778"/>
      <c r="G156" s="777" t="s">
        <v>1759</v>
      </c>
      <c r="H156" s="779">
        <v>0</v>
      </c>
      <c r="I156" s="780" t="s">
        <v>158</v>
      </c>
      <c r="J156" s="1342" t="str">
        <f t="shared" si="29"/>
        <v xml:space="preserve"> </v>
      </c>
      <c r="K156" s="1326" t="str">
        <f t="shared" si="30"/>
        <v xml:space="preserve"> </v>
      </c>
      <c r="L156" s="1326">
        <f t="shared" si="31"/>
        <v>0</v>
      </c>
      <c r="M156" s="1342" t="str">
        <f t="shared" si="32"/>
        <v xml:space="preserve"> </v>
      </c>
      <c r="N156" s="1342" t="str">
        <f t="shared" si="33"/>
        <v xml:space="preserve"> </v>
      </c>
    </row>
    <row r="157" spans="3:14">
      <c r="C157" s="1806">
        <v>1901001</v>
      </c>
      <c r="D157" s="1351" t="s">
        <v>337</v>
      </c>
      <c r="E157" s="1806">
        <v>7015</v>
      </c>
      <c r="F157" s="778"/>
      <c r="G157" s="777" t="s">
        <v>1846</v>
      </c>
      <c r="H157" s="779">
        <v>-7583808.5199999996</v>
      </c>
      <c r="I157" s="780" t="s">
        <v>291</v>
      </c>
      <c r="J157" s="1342">
        <f t="shared" si="29"/>
        <v>-7583808.5199999996</v>
      </c>
      <c r="K157" s="1326" t="str">
        <f t="shared" si="30"/>
        <v xml:space="preserve"> </v>
      </c>
      <c r="L157" s="1326" t="str">
        <f t="shared" si="31"/>
        <v xml:space="preserve"> </v>
      </c>
      <c r="M157" s="1342" t="str">
        <f t="shared" si="32"/>
        <v xml:space="preserve"> </v>
      </c>
      <c r="N157" s="1342" t="str">
        <f t="shared" si="33"/>
        <v xml:space="preserve"> </v>
      </c>
    </row>
    <row r="158" spans="3:14">
      <c r="C158" s="1806">
        <v>1901001</v>
      </c>
      <c r="D158" s="1351" t="s">
        <v>337</v>
      </c>
      <c r="E158" s="1806">
        <v>7016</v>
      </c>
      <c r="F158" s="778"/>
      <c r="G158" s="777" t="s">
        <v>1847</v>
      </c>
      <c r="H158" s="779">
        <v>-0.33</v>
      </c>
      <c r="I158" s="780" t="s">
        <v>291</v>
      </c>
      <c r="J158" s="1342">
        <f t="shared" si="29"/>
        <v>-0.33</v>
      </c>
      <c r="K158" s="1326" t="str">
        <f t="shared" si="30"/>
        <v xml:space="preserve"> </v>
      </c>
      <c r="L158" s="1326" t="str">
        <f t="shared" si="31"/>
        <v xml:space="preserve"> </v>
      </c>
      <c r="M158" s="1342" t="str">
        <f t="shared" si="32"/>
        <v xml:space="preserve"> </v>
      </c>
      <c r="N158" s="1342" t="str">
        <f t="shared" si="33"/>
        <v xml:space="preserve"> </v>
      </c>
    </row>
    <row r="159" spans="3:14">
      <c r="C159" s="1806">
        <v>1901001</v>
      </c>
      <c r="D159" s="1351" t="s">
        <v>337</v>
      </c>
      <c r="E159" s="1806">
        <v>7017</v>
      </c>
      <c r="F159" s="778"/>
      <c r="G159" s="777" t="s">
        <v>1848</v>
      </c>
      <c r="H159" s="779">
        <v>-7192907.3300000001</v>
      </c>
      <c r="I159" s="780" t="s">
        <v>291</v>
      </c>
      <c r="J159" s="1342">
        <f t="shared" si="29"/>
        <v>-7192907.3300000001</v>
      </c>
      <c r="K159" s="1326" t="str">
        <f t="shared" si="30"/>
        <v xml:space="preserve"> </v>
      </c>
      <c r="L159" s="1326" t="str">
        <f t="shared" si="31"/>
        <v xml:space="preserve"> </v>
      </c>
      <c r="M159" s="1342" t="str">
        <f t="shared" si="32"/>
        <v xml:space="preserve"> </v>
      </c>
      <c r="N159" s="1342" t="str">
        <f t="shared" si="33"/>
        <v xml:space="preserve"> </v>
      </c>
    </row>
    <row r="160" spans="3:14">
      <c r="C160" s="1806">
        <v>1901001</v>
      </c>
      <c r="D160" s="1351" t="s">
        <v>337</v>
      </c>
      <c r="E160" s="1806">
        <v>7021</v>
      </c>
      <c r="F160" s="778"/>
      <c r="G160" s="777" t="s">
        <v>1730</v>
      </c>
      <c r="H160" s="779">
        <v>2457308.6800000002</v>
      </c>
      <c r="I160" s="780" t="s">
        <v>291</v>
      </c>
      <c r="J160" s="1342">
        <f t="shared" si="29"/>
        <v>2457308.6800000002</v>
      </c>
      <c r="K160" s="1326" t="str">
        <f t="shared" si="30"/>
        <v xml:space="preserve"> </v>
      </c>
      <c r="L160" s="1326" t="str">
        <f t="shared" si="31"/>
        <v xml:space="preserve"> </v>
      </c>
      <c r="M160" s="1342" t="str">
        <f t="shared" si="32"/>
        <v xml:space="preserve"> </v>
      </c>
      <c r="N160" s="1342" t="str">
        <f t="shared" si="33"/>
        <v xml:space="preserve"> </v>
      </c>
    </row>
    <row r="161" spans="3:14">
      <c r="C161" s="1806">
        <v>1901001</v>
      </c>
      <c r="D161" s="1351" t="s">
        <v>337</v>
      </c>
      <c r="E161" s="1806">
        <v>7027</v>
      </c>
      <c r="F161" s="778"/>
      <c r="G161" s="777" t="s">
        <v>1731</v>
      </c>
      <c r="H161" s="779">
        <v>-362629.22</v>
      </c>
      <c r="I161" s="780" t="s">
        <v>300</v>
      </c>
      <c r="J161" s="1342" t="str">
        <f t="shared" si="29"/>
        <v xml:space="preserve"> </v>
      </c>
      <c r="K161" s="1326" t="str">
        <f t="shared" si="30"/>
        <v xml:space="preserve"> </v>
      </c>
      <c r="L161" s="1326" t="str">
        <f t="shared" si="31"/>
        <v xml:space="preserve"> </v>
      </c>
      <c r="M161" s="1342" t="str">
        <f t="shared" si="32"/>
        <v xml:space="preserve"> </v>
      </c>
      <c r="N161" s="1342">
        <f t="shared" si="33"/>
        <v>-362629.22</v>
      </c>
    </row>
    <row r="162" spans="3:14">
      <c r="C162" s="1806">
        <v>1901001</v>
      </c>
      <c r="D162" s="1351" t="s">
        <v>337</v>
      </c>
      <c r="E162" s="1806">
        <v>7029</v>
      </c>
      <c r="F162" s="778"/>
      <c r="G162" s="777" t="s">
        <v>1732</v>
      </c>
      <c r="H162" s="779">
        <v>225224.85</v>
      </c>
      <c r="I162" s="780" t="s">
        <v>300</v>
      </c>
      <c r="J162" s="1342" t="str">
        <f t="shared" si="29"/>
        <v xml:space="preserve"> </v>
      </c>
      <c r="K162" s="1326" t="str">
        <f t="shared" si="30"/>
        <v xml:space="preserve"> </v>
      </c>
      <c r="L162" s="1326" t="str">
        <f t="shared" si="31"/>
        <v xml:space="preserve"> </v>
      </c>
      <c r="M162" s="1342" t="str">
        <f t="shared" si="32"/>
        <v xml:space="preserve"> </v>
      </c>
      <c r="N162" s="1342">
        <f t="shared" si="33"/>
        <v>225224.85</v>
      </c>
    </row>
    <row r="163" spans="3:14">
      <c r="C163" s="1806">
        <v>1901001</v>
      </c>
      <c r="D163" s="1351" t="s">
        <v>337</v>
      </c>
      <c r="E163" s="1806">
        <v>7034</v>
      </c>
      <c r="F163" s="778"/>
      <c r="G163" s="777" t="s">
        <v>1733</v>
      </c>
      <c r="H163" s="779">
        <v>91148.55</v>
      </c>
      <c r="I163" s="780" t="s">
        <v>291</v>
      </c>
      <c r="J163" s="1342">
        <f t="shared" si="29"/>
        <v>91148.55</v>
      </c>
      <c r="K163" s="1326" t="str">
        <f t="shared" si="30"/>
        <v xml:space="preserve"> </v>
      </c>
      <c r="L163" s="1326" t="str">
        <f t="shared" si="31"/>
        <v xml:space="preserve"> </v>
      </c>
      <c r="M163" s="1342" t="str">
        <f t="shared" si="32"/>
        <v xml:space="preserve"> </v>
      </c>
      <c r="N163" s="1342" t="str">
        <f t="shared" si="33"/>
        <v xml:space="preserve"> </v>
      </c>
    </row>
    <row r="164" spans="3:14">
      <c r="C164" s="1806">
        <v>1901001</v>
      </c>
      <c r="D164" s="1351" t="s">
        <v>337</v>
      </c>
      <c r="E164" s="1806">
        <v>7035</v>
      </c>
      <c r="F164" s="778"/>
      <c r="G164" s="777" t="s">
        <v>1734</v>
      </c>
      <c r="H164" s="779">
        <v>135363.26999999999</v>
      </c>
      <c r="I164" s="780" t="s">
        <v>291</v>
      </c>
      <c r="J164" s="1342">
        <f t="shared" si="29"/>
        <v>135363.26999999999</v>
      </c>
      <c r="K164" s="1326" t="str">
        <f t="shared" si="30"/>
        <v xml:space="preserve"> </v>
      </c>
      <c r="L164" s="1326" t="str">
        <f t="shared" si="31"/>
        <v xml:space="preserve"> </v>
      </c>
      <c r="M164" s="1342" t="str">
        <f t="shared" si="32"/>
        <v xml:space="preserve"> </v>
      </c>
      <c r="N164" s="1342" t="str">
        <f t="shared" si="33"/>
        <v xml:space="preserve"> </v>
      </c>
    </row>
    <row r="165" spans="3:14">
      <c r="C165" s="1806">
        <v>1901001</v>
      </c>
      <c r="D165" s="1351" t="s">
        <v>337</v>
      </c>
      <c r="E165" s="1806">
        <v>7036</v>
      </c>
      <c r="F165" s="778"/>
      <c r="G165" s="777" t="s">
        <v>1735</v>
      </c>
      <c r="H165" s="779">
        <v>31528.04</v>
      </c>
      <c r="I165" s="780" t="s">
        <v>291</v>
      </c>
      <c r="J165" s="1342">
        <f t="shared" si="29"/>
        <v>31528.04</v>
      </c>
      <c r="K165" s="1326" t="str">
        <f t="shared" si="30"/>
        <v xml:space="preserve"> </v>
      </c>
      <c r="L165" s="1326" t="str">
        <f t="shared" si="31"/>
        <v xml:space="preserve"> </v>
      </c>
      <c r="M165" s="1342" t="str">
        <f t="shared" si="32"/>
        <v xml:space="preserve"> </v>
      </c>
      <c r="N165" s="1342" t="str">
        <f t="shared" si="33"/>
        <v xml:space="preserve"> </v>
      </c>
    </row>
    <row r="166" spans="3:14">
      <c r="C166" s="1806">
        <v>1901001</v>
      </c>
      <c r="D166" s="1351" t="s">
        <v>337</v>
      </c>
      <c r="E166" s="1806">
        <v>7037</v>
      </c>
      <c r="F166" s="778"/>
      <c r="G166" s="777" t="s">
        <v>1850</v>
      </c>
      <c r="H166" s="779">
        <v>0.12</v>
      </c>
      <c r="I166" s="780" t="s">
        <v>291</v>
      </c>
      <c r="J166" s="1342">
        <f t="shared" si="29"/>
        <v>0.12</v>
      </c>
      <c r="K166" s="1326" t="str">
        <f t="shared" si="30"/>
        <v xml:space="preserve"> </v>
      </c>
      <c r="L166" s="1326" t="str">
        <f t="shared" si="31"/>
        <v xml:space="preserve"> </v>
      </c>
      <c r="M166" s="1342" t="str">
        <f t="shared" si="32"/>
        <v xml:space="preserve"> </v>
      </c>
      <c r="N166" s="1342" t="str">
        <f t="shared" si="33"/>
        <v xml:space="preserve"> </v>
      </c>
    </row>
    <row r="167" spans="3:14">
      <c r="C167" s="1806">
        <v>1901001</v>
      </c>
      <c r="D167" s="1351" t="s">
        <v>337</v>
      </c>
      <c r="E167" s="1806">
        <v>7040</v>
      </c>
      <c r="F167" s="778"/>
      <c r="G167" s="777" t="s">
        <v>1737</v>
      </c>
      <c r="H167" s="779">
        <v>64.88</v>
      </c>
      <c r="I167" s="780" t="s">
        <v>291</v>
      </c>
      <c r="J167" s="1342">
        <f t="shared" si="29"/>
        <v>64.88</v>
      </c>
      <c r="K167" s="1326" t="str">
        <f t="shared" si="30"/>
        <v xml:space="preserve"> </v>
      </c>
      <c r="L167" s="1326" t="str">
        <f t="shared" si="31"/>
        <v xml:space="preserve"> </v>
      </c>
      <c r="M167" s="1342" t="str">
        <f t="shared" si="32"/>
        <v xml:space="preserve"> </v>
      </c>
      <c r="N167" s="1342" t="str">
        <f t="shared" si="33"/>
        <v xml:space="preserve"> </v>
      </c>
    </row>
    <row r="168" spans="3:14">
      <c r="C168" s="1806">
        <v>1901001</v>
      </c>
      <c r="D168" s="1351" t="s">
        <v>337</v>
      </c>
      <c r="E168" s="1806">
        <v>7043</v>
      </c>
      <c r="F168" s="778"/>
      <c r="G168" s="777" t="s">
        <v>1851</v>
      </c>
      <c r="H168" s="779">
        <v>10555251.199999999</v>
      </c>
      <c r="I168" s="780" t="s">
        <v>291</v>
      </c>
      <c r="J168" s="1342">
        <f t="shared" si="29"/>
        <v>10555251.199999999</v>
      </c>
      <c r="K168" s="1326" t="str">
        <f t="shared" si="30"/>
        <v xml:space="preserve"> </v>
      </c>
      <c r="L168" s="1326" t="str">
        <f t="shared" si="31"/>
        <v xml:space="preserve"> </v>
      </c>
      <c r="M168" s="1342" t="str">
        <f t="shared" si="32"/>
        <v xml:space="preserve"> </v>
      </c>
      <c r="N168" s="1342" t="str">
        <f t="shared" si="33"/>
        <v xml:space="preserve"> </v>
      </c>
    </row>
    <row r="169" spans="3:14">
      <c r="C169" s="1806">
        <v>1901001</v>
      </c>
      <c r="D169" s="1351" t="s">
        <v>337</v>
      </c>
      <c r="E169" s="1806">
        <v>7044</v>
      </c>
      <c r="F169" s="778"/>
      <c r="G169" s="777" t="s">
        <v>1852</v>
      </c>
      <c r="H169" s="779">
        <v>355964.91</v>
      </c>
      <c r="I169" s="780" t="s">
        <v>291</v>
      </c>
      <c r="J169" s="1342">
        <f t="shared" si="29"/>
        <v>355964.91</v>
      </c>
      <c r="K169" s="1326" t="str">
        <f t="shared" si="30"/>
        <v xml:space="preserve"> </v>
      </c>
      <c r="L169" s="1326" t="str">
        <f t="shared" si="31"/>
        <v xml:space="preserve"> </v>
      </c>
      <c r="M169" s="1342" t="str">
        <f t="shared" si="32"/>
        <v xml:space="preserve"> </v>
      </c>
      <c r="N169" s="1342" t="str">
        <f t="shared" si="33"/>
        <v xml:space="preserve"> </v>
      </c>
    </row>
    <row r="170" spans="3:14">
      <c r="C170" s="1806">
        <v>1901001</v>
      </c>
      <c r="D170" s="1351" t="s">
        <v>337</v>
      </c>
      <c r="E170" s="1806">
        <v>7048</v>
      </c>
      <c r="F170" s="778"/>
      <c r="G170" s="777" t="s">
        <v>1738</v>
      </c>
      <c r="H170" s="779">
        <v>1001455.82</v>
      </c>
      <c r="I170" s="780" t="s">
        <v>291</v>
      </c>
      <c r="J170" s="1342">
        <f t="shared" si="29"/>
        <v>1001455.82</v>
      </c>
      <c r="K170" s="1326" t="str">
        <f t="shared" si="30"/>
        <v xml:space="preserve"> </v>
      </c>
      <c r="L170" s="1326" t="str">
        <f t="shared" si="31"/>
        <v xml:space="preserve"> </v>
      </c>
      <c r="M170" s="1342" t="str">
        <f t="shared" si="32"/>
        <v xml:space="preserve"> </v>
      </c>
      <c r="N170" s="1342" t="str">
        <f t="shared" si="33"/>
        <v xml:space="preserve"> </v>
      </c>
    </row>
    <row r="171" spans="3:14">
      <c r="C171" s="1806">
        <v>1901001</v>
      </c>
      <c r="D171" s="1351" t="s">
        <v>337</v>
      </c>
      <c r="E171" s="1806">
        <v>7051</v>
      </c>
      <c r="F171" s="778"/>
      <c r="G171" s="777" t="s">
        <v>1853</v>
      </c>
      <c r="H171" s="779">
        <v>-317.92</v>
      </c>
      <c r="I171" s="780" t="s">
        <v>158</v>
      </c>
      <c r="J171" s="1342" t="str">
        <f t="shared" si="29"/>
        <v xml:space="preserve"> </v>
      </c>
      <c r="K171" s="1326" t="str">
        <f t="shared" si="30"/>
        <v xml:space="preserve"> </v>
      </c>
      <c r="L171" s="1326">
        <f t="shared" si="31"/>
        <v>-317.92</v>
      </c>
      <c r="M171" s="1342" t="str">
        <f t="shared" si="32"/>
        <v xml:space="preserve"> </v>
      </c>
      <c r="N171" s="1342" t="str">
        <f t="shared" si="33"/>
        <v xml:space="preserve"> </v>
      </c>
    </row>
    <row r="172" spans="3:14">
      <c r="C172" s="1806">
        <v>1901001</v>
      </c>
      <c r="D172" s="1351" t="s">
        <v>337</v>
      </c>
      <c r="E172" s="1806">
        <v>7052</v>
      </c>
      <c r="F172" s="778"/>
      <c r="G172" s="777" t="s">
        <v>1739</v>
      </c>
      <c r="H172" s="779">
        <v>2329068.4</v>
      </c>
      <c r="I172" s="780" t="s">
        <v>291</v>
      </c>
      <c r="J172" s="1342">
        <f t="shared" si="29"/>
        <v>2329068.4</v>
      </c>
      <c r="K172" s="1326" t="str">
        <f t="shared" si="30"/>
        <v xml:space="preserve"> </v>
      </c>
      <c r="L172" s="1326" t="str">
        <f t="shared" si="31"/>
        <v xml:space="preserve"> </v>
      </c>
      <c r="M172" s="1342" t="str">
        <f t="shared" si="32"/>
        <v xml:space="preserve"> </v>
      </c>
      <c r="N172" s="1342" t="str">
        <f t="shared" si="33"/>
        <v xml:space="preserve"> </v>
      </c>
    </row>
    <row r="173" spans="3:14">
      <c r="C173" s="1806">
        <v>1901001</v>
      </c>
      <c r="D173" s="1351" t="s">
        <v>337</v>
      </c>
      <c r="E173" s="1806">
        <v>7053</v>
      </c>
      <c r="F173" s="778"/>
      <c r="G173" s="777" t="s">
        <v>1740</v>
      </c>
      <c r="H173" s="779">
        <v>73817.850000000006</v>
      </c>
      <c r="I173" s="780" t="s">
        <v>291</v>
      </c>
      <c r="J173" s="1342">
        <f t="shared" si="29"/>
        <v>73817.850000000006</v>
      </c>
      <c r="K173" s="1326" t="str">
        <f t="shared" si="30"/>
        <v xml:space="preserve"> </v>
      </c>
      <c r="L173" s="1326" t="str">
        <f t="shared" si="31"/>
        <v xml:space="preserve"> </v>
      </c>
      <c r="M173" s="1342" t="str">
        <f t="shared" si="32"/>
        <v xml:space="preserve"> </v>
      </c>
      <c r="N173" s="1342" t="str">
        <f t="shared" si="33"/>
        <v xml:space="preserve"> </v>
      </c>
    </row>
    <row r="174" spans="3:14">
      <c r="C174" s="1806">
        <v>1901001</v>
      </c>
      <c r="D174" s="1351" t="s">
        <v>337</v>
      </c>
      <c r="E174" s="1806">
        <v>7055</v>
      </c>
      <c r="F174" s="778"/>
      <c r="G174" s="777" t="s">
        <v>1742</v>
      </c>
      <c r="H174" s="779">
        <v>33859.58</v>
      </c>
      <c r="I174" s="780" t="s">
        <v>291</v>
      </c>
      <c r="J174" s="1342">
        <f t="shared" si="29"/>
        <v>33859.58</v>
      </c>
      <c r="K174" s="1326" t="str">
        <f t="shared" si="30"/>
        <v xml:space="preserve"> </v>
      </c>
      <c r="L174" s="1326" t="str">
        <f t="shared" si="31"/>
        <v xml:space="preserve"> </v>
      </c>
      <c r="M174" s="1342" t="str">
        <f t="shared" si="32"/>
        <v xml:space="preserve"> </v>
      </c>
      <c r="N174" s="1342" t="str">
        <f t="shared" si="33"/>
        <v xml:space="preserve"> </v>
      </c>
    </row>
    <row r="175" spans="3:14">
      <c r="C175" s="1806">
        <v>1901001</v>
      </c>
      <c r="D175" s="1351" t="s">
        <v>337</v>
      </c>
      <c r="E175" s="1806">
        <v>7059</v>
      </c>
      <c r="F175" s="778"/>
      <c r="G175" s="777" t="s">
        <v>1854</v>
      </c>
      <c r="H175" s="779">
        <v>4261.74</v>
      </c>
      <c r="I175" s="780" t="s">
        <v>291</v>
      </c>
      <c r="J175" s="1342">
        <f t="shared" si="29"/>
        <v>4261.74</v>
      </c>
      <c r="K175" s="1326" t="str">
        <f t="shared" si="30"/>
        <v xml:space="preserve"> </v>
      </c>
      <c r="L175" s="1326" t="str">
        <f t="shared" si="31"/>
        <v xml:space="preserve"> </v>
      </c>
      <c r="M175" s="1342" t="str">
        <f t="shared" si="32"/>
        <v xml:space="preserve"> </v>
      </c>
      <c r="N175" s="1342" t="str">
        <f t="shared" si="33"/>
        <v xml:space="preserve"> </v>
      </c>
    </row>
    <row r="176" spans="3:14">
      <c r="C176" s="1806">
        <v>1901001</v>
      </c>
      <c r="D176" s="1351" t="s">
        <v>337</v>
      </c>
      <c r="E176" s="1806">
        <v>7061</v>
      </c>
      <c r="F176" s="778"/>
      <c r="G176" s="777" t="s">
        <v>1760</v>
      </c>
      <c r="H176" s="779">
        <v>89783.48</v>
      </c>
      <c r="I176" s="780" t="s">
        <v>291</v>
      </c>
      <c r="J176" s="1342">
        <f t="shared" si="29"/>
        <v>89783.48</v>
      </c>
      <c r="K176" s="1326" t="str">
        <f t="shared" si="30"/>
        <v xml:space="preserve"> </v>
      </c>
      <c r="L176" s="1326" t="str">
        <f t="shared" si="31"/>
        <v xml:space="preserve"> </v>
      </c>
      <c r="M176" s="1342" t="str">
        <f t="shared" si="32"/>
        <v xml:space="preserve"> </v>
      </c>
      <c r="N176" s="1342" t="str">
        <f t="shared" si="33"/>
        <v xml:space="preserve"> </v>
      </c>
    </row>
    <row r="177" spans="3:14">
      <c r="C177" s="1806">
        <v>1901001</v>
      </c>
      <c r="D177" s="1351" t="s">
        <v>337</v>
      </c>
      <c r="E177" s="1806">
        <v>7064</v>
      </c>
      <c r="F177" s="778"/>
      <c r="G177" s="777" t="s">
        <v>1855</v>
      </c>
      <c r="H177" s="779">
        <v>0.12</v>
      </c>
      <c r="I177" s="780" t="s">
        <v>158</v>
      </c>
      <c r="J177" s="1342" t="str">
        <f t="shared" si="29"/>
        <v xml:space="preserve"> </v>
      </c>
      <c r="K177" s="1326" t="str">
        <f t="shared" si="30"/>
        <v xml:space="preserve"> </v>
      </c>
      <c r="L177" s="1326">
        <f t="shared" si="31"/>
        <v>0.12</v>
      </c>
      <c r="M177" s="1342" t="str">
        <f t="shared" si="32"/>
        <v xml:space="preserve"> </v>
      </c>
      <c r="N177" s="1342" t="str">
        <f t="shared" si="33"/>
        <v xml:space="preserve"> </v>
      </c>
    </row>
    <row r="178" spans="3:14">
      <c r="C178" s="1806">
        <v>1901001</v>
      </c>
      <c r="D178" s="1351" t="s">
        <v>337</v>
      </c>
      <c r="E178" s="1806">
        <v>7065</v>
      </c>
      <c r="F178" s="778"/>
      <c r="G178" s="777" t="s">
        <v>1856</v>
      </c>
      <c r="H178" s="779">
        <v>0.9</v>
      </c>
      <c r="I178" s="780" t="s">
        <v>291</v>
      </c>
      <c r="J178" s="1342">
        <f t="shared" si="29"/>
        <v>0.9</v>
      </c>
      <c r="K178" s="1326" t="str">
        <f t="shared" si="30"/>
        <v xml:space="preserve"> </v>
      </c>
      <c r="L178" s="1326" t="str">
        <f t="shared" si="31"/>
        <v xml:space="preserve"> </v>
      </c>
      <c r="M178" s="1342" t="str">
        <f t="shared" si="32"/>
        <v xml:space="preserve"> </v>
      </c>
      <c r="N178" s="1342" t="str">
        <f t="shared" si="33"/>
        <v xml:space="preserve"> </v>
      </c>
    </row>
    <row r="179" spans="3:14">
      <c r="C179" s="1806">
        <v>1901001</v>
      </c>
      <c r="D179" s="1351" t="s">
        <v>337</v>
      </c>
      <c r="E179" s="1806">
        <v>7067</v>
      </c>
      <c r="F179" s="778"/>
      <c r="G179" s="777" t="s">
        <v>1857</v>
      </c>
      <c r="H179" s="779">
        <v>-0.11</v>
      </c>
      <c r="I179" s="780" t="s">
        <v>291</v>
      </c>
      <c r="J179" s="1342">
        <f t="shared" si="29"/>
        <v>-0.11</v>
      </c>
      <c r="K179" s="1326" t="str">
        <f t="shared" si="30"/>
        <v xml:space="preserve"> </v>
      </c>
      <c r="L179" s="1326" t="str">
        <f t="shared" si="31"/>
        <v xml:space="preserve"> </v>
      </c>
      <c r="M179" s="1342" t="str">
        <f t="shared" si="32"/>
        <v xml:space="preserve"> </v>
      </c>
      <c r="N179" s="1342" t="str">
        <f t="shared" si="33"/>
        <v xml:space="preserve"> </v>
      </c>
    </row>
    <row r="180" spans="3:14">
      <c r="C180" s="1806">
        <v>1901001</v>
      </c>
      <c r="D180" s="1351"/>
      <c r="E180" s="1806">
        <v>7083</v>
      </c>
      <c r="F180" s="778"/>
      <c r="G180" s="777" t="s">
        <v>1743</v>
      </c>
      <c r="H180" s="779">
        <v>-0.15</v>
      </c>
      <c r="I180" s="780" t="s">
        <v>158</v>
      </c>
      <c r="J180" s="1342" t="str">
        <f t="shared" si="29"/>
        <v xml:space="preserve"> </v>
      </c>
      <c r="K180" s="1326" t="str">
        <f t="shared" si="30"/>
        <v xml:space="preserve"> </v>
      </c>
      <c r="L180" s="1326">
        <f t="shared" si="31"/>
        <v>-0.15</v>
      </c>
      <c r="M180" s="1342" t="str">
        <f t="shared" si="32"/>
        <v xml:space="preserve"> </v>
      </c>
      <c r="N180" s="1342" t="str">
        <f t="shared" si="33"/>
        <v xml:space="preserve"> </v>
      </c>
    </row>
    <row r="181" spans="3:14">
      <c r="C181" s="1806">
        <v>1901001</v>
      </c>
      <c r="D181" s="1351"/>
      <c r="E181" s="1806">
        <v>7085</v>
      </c>
      <c r="F181" s="778"/>
      <c r="G181" s="777" t="s">
        <v>1702</v>
      </c>
      <c r="H181" s="779">
        <v>-3.15</v>
      </c>
      <c r="I181" s="780" t="s">
        <v>158</v>
      </c>
      <c r="J181" s="1342" t="str">
        <f t="shared" si="29"/>
        <v xml:space="preserve"> </v>
      </c>
      <c r="K181" s="1326" t="str">
        <f t="shared" si="30"/>
        <v xml:space="preserve"> </v>
      </c>
      <c r="L181" s="1326">
        <f t="shared" si="31"/>
        <v>-3.15</v>
      </c>
      <c r="M181" s="1342" t="str">
        <f t="shared" si="32"/>
        <v xml:space="preserve"> </v>
      </c>
      <c r="N181" s="1342" t="str">
        <f t="shared" si="33"/>
        <v xml:space="preserve"> </v>
      </c>
    </row>
    <row r="182" spans="3:14">
      <c r="C182" s="1806">
        <v>1901001</v>
      </c>
      <c r="D182" s="1351"/>
      <c r="E182" s="1806">
        <v>7104</v>
      </c>
      <c r="F182" s="778"/>
      <c r="G182" s="777" t="s">
        <v>1744</v>
      </c>
      <c r="H182" s="779">
        <v>384157.83</v>
      </c>
      <c r="I182" s="780" t="s">
        <v>291</v>
      </c>
      <c r="J182" s="1342">
        <f t="shared" si="29"/>
        <v>384157.83</v>
      </c>
      <c r="K182" s="1326" t="str">
        <f t="shared" si="30"/>
        <v xml:space="preserve"> </v>
      </c>
      <c r="L182" s="1326" t="str">
        <f t="shared" si="31"/>
        <v xml:space="preserve"> </v>
      </c>
      <c r="M182" s="1342" t="str">
        <f t="shared" si="32"/>
        <v xml:space="preserve"> </v>
      </c>
      <c r="N182" s="1342" t="str">
        <f t="shared" si="33"/>
        <v xml:space="preserve"> </v>
      </c>
    </row>
    <row r="183" spans="3:14">
      <c r="C183" s="1806">
        <v>1901001</v>
      </c>
      <c r="D183" s="1351"/>
      <c r="E183" s="1806">
        <v>7110</v>
      </c>
      <c r="F183" s="778"/>
      <c r="G183" s="777" t="s">
        <v>1745</v>
      </c>
      <c r="H183" s="779">
        <v>-3231477.77</v>
      </c>
      <c r="I183" s="780" t="s">
        <v>291</v>
      </c>
      <c r="J183" s="1342">
        <f t="shared" si="29"/>
        <v>-3231477.77</v>
      </c>
      <c r="K183" s="1326" t="str">
        <f t="shared" si="30"/>
        <v xml:space="preserve"> </v>
      </c>
      <c r="L183" s="1326" t="str">
        <f t="shared" si="31"/>
        <v xml:space="preserve"> </v>
      </c>
      <c r="M183" s="1342" t="str">
        <f t="shared" si="32"/>
        <v xml:space="preserve"> </v>
      </c>
      <c r="N183" s="1342" t="str">
        <f t="shared" si="33"/>
        <v xml:space="preserve"> </v>
      </c>
    </row>
    <row r="184" spans="3:14">
      <c r="C184" s="1806">
        <v>1901001</v>
      </c>
      <c r="D184" s="1351"/>
      <c r="E184" s="1806">
        <v>7463</v>
      </c>
      <c r="F184" s="778"/>
      <c r="G184" s="777" t="s">
        <v>1746</v>
      </c>
      <c r="H184" s="779">
        <v>-4246440.79</v>
      </c>
      <c r="I184" s="780" t="s">
        <v>291</v>
      </c>
      <c r="J184" s="1342">
        <f t="shared" si="29"/>
        <v>-4246440.79</v>
      </c>
      <c r="K184" s="1326" t="str">
        <f t="shared" si="30"/>
        <v xml:space="preserve"> </v>
      </c>
      <c r="L184" s="1326" t="str">
        <f t="shared" si="31"/>
        <v xml:space="preserve"> </v>
      </c>
      <c r="M184" s="1342" t="str">
        <f t="shared" si="32"/>
        <v xml:space="preserve"> </v>
      </c>
      <c r="N184" s="1342" t="str">
        <f t="shared" si="33"/>
        <v xml:space="preserve"> </v>
      </c>
    </row>
    <row r="185" spans="3:14">
      <c r="C185" s="1806">
        <v>1901001</v>
      </c>
      <c r="D185" s="1351"/>
      <c r="E185" s="1806">
        <v>7566</v>
      </c>
      <c r="F185" s="778"/>
      <c r="G185" s="777" t="s">
        <v>1859</v>
      </c>
      <c r="H185" s="779">
        <v>1271788.98</v>
      </c>
      <c r="I185" s="780" t="s">
        <v>291</v>
      </c>
      <c r="J185" s="1342">
        <f t="shared" si="29"/>
        <v>1271788.98</v>
      </c>
      <c r="K185" s="1326" t="str">
        <f t="shared" si="30"/>
        <v xml:space="preserve"> </v>
      </c>
      <c r="L185" s="1326" t="str">
        <f t="shared" si="31"/>
        <v xml:space="preserve"> </v>
      </c>
      <c r="M185" s="1342" t="str">
        <f t="shared" si="32"/>
        <v xml:space="preserve"> </v>
      </c>
      <c r="N185" s="1342" t="str">
        <f t="shared" si="33"/>
        <v xml:space="preserve"> </v>
      </c>
    </row>
    <row r="186" spans="3:14">
      <c r="C186" s="1806">
        <v>1901001</v>
      </c>
      <c r="D186" s="1351"/>
      <c r="E186" s="1806">
        <v>7577</v>
      </c>
      <c r="F186" s="778"/>
      <c r="G186" s="777" t="s">
        <v>1747</v>
      </c>
      <c r="H186" s="779">
        <v>2136902.25</v>
      </c>
      <c r="I186" s="780" t="s">
        <v>291</v>
      </c>
      <c r="J186" s="1342">
        <f t="shared" si="29"/>
        <v>2136902.25</v>
      </c>
      <c r="K186" s="1326" t="str">
        <f t="shared" si="30"/>
        <v xml:space="preserve"> </v>
      </c>
      <c r="L186" s="1326" t="str">
        <f t="shared" si="31"/>
        <v xml:space="preserve"> </v>
      </c>
      <c r="M186" s="1342" t="str">
        <f t="shared" si="32"/>
        <v xml:space="preserve"> </v>
      </c>
      <c r="N186" s="1342" t="str">
        <f t="shared" si="33"/>
        <v xml:space="preserve"> </v>
      </c>
    </row>
    <row r="187" spans="3:14">
      <c r="C187" s="1806">
        <v>1901001</v>
      </c>
      <c r="D187" s="1351"/>
      <c r="E187" s="1806">
        <v>7581</v>
      </c>
      <c r="F187" s="778"/>
      <c r="G187" s="777" t="s">
        <v>1749</v>
      </c>
      <c r="H187" s="779">
        <v>31084203.539999999</v>
      </c>
      <c r="I187" s="780" t="s">
        <v>291</v>
      </c>
      <c r="J187" s="1342">
        <f t="shared" si="29"/>
        <v>31084203.539999999</v>
      </c>
      <c r="K187" s="1326" t="str">
        <f t="shared" si="30"/>
        <v xml:space="preserve"> </v>
      </c>
      <c r="L187" s="1326" t="str">
        <f t="shared" si="31"/>
        <v xml:space="preserve"> </v>
      </c>
      <c r="M187" s="1342" t="str">
        <f t="shared" si="32"/>
        <v xml:space="preserve"> </v>
      </c>
      <c r="N187" s="1342" t="str">
        <f t="shared" si="33"/>
        <v xml:space="preserve"> </v>
      </c>
    </row>
    <row r="188" spans="3:14">
      <c r="C188" s="1806">
        <v>1901001</v>
      </c>
      <c r="D188" s="1351"/>
      <c r="E188" s="1806">
        <v>7584</v>
      </c>
      <c r="F188" s="778"/>
      <c r="G188" s="777" t="s">
        <v>1750</v>
      </c>
      <c r="H188" s="779">
        <v>27487683.829999998</v>
      </c>
      <c r="I188" s="780" t="s">
        <v>291</v>
      </c>
      <c r="J188" s="1342">
        <f t="shared" si="29"/>
        <v>27487683.829999998</v>
      </c>
      <c r="K188" s="1326" t="str">
        <f t="shared" si="30"/>
        <v xml:space="preserve"> </v>
      </c>
      <c r="L188" s="1326" t="str">
        <f t="shared" si="31"/>
        <v xml:space="preserve"> </v>
      </c>
      <c r="M188" s="1342" t="str">
        <f t="shared" si="32"/>
        <v xml:space="preserve"> </v>
      </c>
      <c r="N188" s="1342" t="str">
        <f t="shared" si="33"/>
        <v xml:space="preserve"> </v>
      </c>
    </row>
    <row r="189" spans="3:14">
      <c r="C189" s="1806">
        <v>1901001</v>
      </c>
      <c r="D189" s="1351"/>
      <c r="E189" s="1806">
        <v>8016</v>
      </c>
      <c r="F189" s="778"/>
      <c r="G189" s="777" t="s">
        <v>1751</v>
      </c>
      <c r="H189" s="779">
        <v>206162.4</v>
      </c>
      <c r="I189" s="780" t="s">
        <v>300</v>
      </c>
      <c r="J189" s="1342" t="str">
        <f t="shared" si="29"/>
        <v xml:space="preserve"> </v>
      </c>
      <c r="K189" s="1326" t="str">
        <f t="shared" si="30"/>
        <v xml:space="preserve"> </v>
      </c>
      <c r="L189" s="1326" t="str">
        <f t="shared" si="31"/>
        <v xml:space="preserve"> </v>
      </c>
      <c r="M189" s="1342" t="str">
        <f t="shared" si="32"/>
        <v xml:space="preserve"> </v>
      </c>
      <c r="N189" s="1342">
        <f t="shared" si="33"/>
        <v>206162.4</v>
      </c>
    </row>
    <row r="190" spans="3:14">
      <c r="C190" s="1806">
        <v>1901001</v>
      </c>
      <c r="D190" s="1351"/>
      <c r="E190" s="1806">
        <v>8017</v>
      </c>
      <c r="F190" s="778"/>
      <c r="G190" s="777" t="s">
        <v>1861</v>
      </c>
      <c r="H190" s="779">
        <v>-0.21</v>
      </c>
      <c r="I190" s="780" t="s">
        <v>291</v>
      </c>
      <c r="J190" s="1342">
        <f t="shared" si="29"/>
        <v>-0.21</v>
      </c>
      <c r="K190" s="1326" t="str">
        <f t="shared" si="30"/>
        <v xml:space="preserve"> </v>
      </c>
      <c r="L190" s="1326" t="str">
        <f t="shared" si="31"/>
        <v xml:space="preserve"> </v>
      </c>
      <c r="M190" s="1342" t="str">
        <f t="shared" si="32"/>
        <v xml:space="preserve"> </v>
      </c>
      <c r="N190" s="1342" t="str">
        <f t="shared" si="33"/>
        <v xml:space="preserve"> </v>
      </c>
    </row>
    <row r="191" spans="3:14">
      <c r="C191" s="1806">
        <v>1901001</v>
      </c>
      <c r="D191" s="1351"/>
      <c r="E191" s="1806">
        <v>8018</v>
      </c>
      <c r="F191" s="778"/>
      <c r="G191" s="777" t="s">
        <v>1752</v>
      </c>
      <c r="H191" s="779">
        <v>-1764.21</v>
      </c>
      <c r="I191" s="780" t="s">
        <v>291</v>
      </c>
      <c r="J191" s="1342">
        <f t="shared" si="29"/>
        <v>-1764.21</v>
      </c>
      <c r="K191" s="1326" t="str">
        <f t="shared" si="30"/>
        <v xml:space="preserve"> </v>
      </c>
      <c r="L191" s="1326" t="str">
        <f t="shared" si="31"/>
        <v xml:space="preserve"> </v>
      </c>
      <c r="M191" s="1342" t="str">
        <f t="shared" si="32"/>
        <v xml:space="preserve"> </v>
      </c>
      <c r="N191" s="1342" t="str">
        <f t="shared" si="33"/>
        <v xml:space="preserve"> </v>
      </c>
    </row>
    <row r="192" spans="3:14">
      <c r="C192" s="1806">
        <v>1901001</v>
      </c>
      <c r="D192" s="1351"/>
      <c r="E192" s="1806">
        <v>8022</v>
      </c>
      <c r="F192" s="778"/>
      <c r="G192" s="777" t="s">
        <v>1753</v>
      </c>
      <c r="H192" s="779">
        <v>-458758.23</v>
      </c>
      <c r="I192" s="780" t="s">
        <v>291</v>
      </c>
      <c r="J192" s="1342">
        <f t="shared" si="29"/>
        <v>-458758.23</v>
      </c>
      <c r="K192" s="1326" t="str">
        <f t="shared" si="30"/>
        <v xml:space="preserve"> </v>
      </c>
      <c r="L192" s="1326" t="str">
        <f t="shared" si="31"/>
        <v xml:space="preserve"> </v>
      </c>
      <c r="M192" s="1342" t="str">
        <f t="shared" si="32"/>
        <v xml:space="preserve"> </v>
      </c>
      <c r="N192" s="1342" t="str">
        <f t="shared" si="33"/>
        <v xml:space="preserve"> </v>
      </c>
    </row>
    <row r="193" spans="3:17">
      <c r="C193" s="1806">
        <v>1901001</v>
      </c>
      <c r="D193" s="1351"/>
      <c r="E193" s="1806">
        <v>8023</v>
      </c>
      <c r="F193" s="778"/>
      <c r="G193" s="777" t="s">
        <v>1726</v>
      </c>
      <c r="H193" s="779">
        <v>0</v>
      </c>
      <c r="I193" s="780" t="s">
        <v>291</v>
      </c>
      <c r="J193" s="1342">
        <f t="shared" si="29"/>
        <v>0</v>
      </c>
      <c r="K193" s="1326" t="str">
        <f t="shared" si="30"/>
        <v xml:space="preserve"> </v>
      </c>
      <c r="L193" s="1326" t="str">
        <f t="shared" si="31"/>
        <v xml:space="preserve"> </v>
      </c>
      <c r="M193" s="1342" t="str">
        <f t="shared" si="32"/>
        <v xml:space="preserve"> </v>
      </c>
      <c r="N193" s="1342" t="str">
        <f t="shared" si="33"/>
        <v xml:space="preserve"> </v>
      </c>
    </row>
    <row r="194" spans="3:17">
      <c r="C194" s="1806">
        <v>1901001</v>
      </c>
      <c r="D194" s="1351"/>
      <c r="E194" s="1806">
        <v>8031</v>
      </c>
      <c r="F194" s="778"/>
      <c r="G194" s="777" t="s">
        <v>1862</v>
      </c>
      <c r="H194" s="779">
        <v>-869056.86</v>
      </c>
      <c r="I194" s="780" t="s">
        <v>291</v>
      </c>
      <c r="J194" s="1342">
        <f t="shared" si="29"/>
        <v>-869056.86</v>
      </c>
      <c r="K194" s="1326" t="str">
        <f t="shared" si="30"/>
        <v xml:space="preserve"> </v>
      </c>
      <c r="L194" s="1326" t="str">
        <f t="shared" si="31"/>
        <v xml:space="preserve"> </v>
      </c>
      <c r="M194" s="1342" t="str">
        <f t="shared" si="32"/>
        <v xml:space="preserve"> </v>
      </c>
      <c r="N194" s="1342" t="str">
        <f t="shared" si="33"/>
        <v xml:space="preserve"> </v>
      </c>
    </row>
    <row r="195" spans="3:17">
      <c r="C195" s="1806">
        <v>1901001</v>
      </c>
      <c r="D195" s="1351"/>
      <c r="E195" s="1806">
        <v>8062</v>
      </c>
      <c r="F195" s="778"/>
      <c r="G195" s="777" t="s">
        <v>1754</v>
      </c>
      <c r="H195" s="779">
        <v>52479.62</v>
      </c>
      <c r="I195" s="780" t="s">
        <v>300</v>
      </c>
      <c r="J195" s="1342" t="str">
        <f t="shared" si="29"/>
        <v xml:space="preserve"> </v>
      </c>
      <c r="K195" s="1326" t="str">
        <f t="shared" si="30"/>
        <v xml:space="preserve"> </v>
      </c>
      <c r="L195" s="1326" t="str">
        <f t="shared" si="31"/>
        <v xml:space="preserve"> </v>
      </c>
      <c r="M195" s="1342" t="str">
        <f t="shared" si="32"/>
        <v xml:space="preserve"> </v>
      </c>
      <c r="N195" s="1342">
        <f t="shared" si="33"/>
        <v>52479.62</v>
      </c>
    </row>
    <row r="196" spans="3:17">
      <c r="C196" s="1806">
        <v>1901001</v>
      </c>
      <c r="D196" s="1351"/>
      <c r="E196" s="1806" t="s">
        <v>1277</v>
      </c>
      <c r="F196" s="778"/>
      <c r="G196" s="777" t="s">
        <v>1285</v>
      </c>
      <c r="H196" s="779">
        <v>326930490.03929996</v>
      </c>
      <c r="I196" s="780" t="s">
        <v>158</v>
      </c>
      <c r="J196" s="1342" t="str">
        <f t="shared" ref="J196" si="35">IF(I196="e",H196," ")</f>
        <v xml:space="preserve"> </v>
      </c>
      <c r="K196" s="1326" t="str">
        <f t="shared" si="30"/>
        <v xml:space="preserve"> </v>
      </c>
      <c r="L196" s="1326">
        <f t="shared" si="31"/>
        <v>326930490.03929996</v>
      </c>
      <c r="M196" s="1342" t="str">
        <f t="shared" si="32"/>
        <v xml:space="preserve"> </v>
      </c>
      <c r="N196" s="1342" t="str">
        <f t="shared" ref="N196" si="36">IF(I196="Labor",H196," ")</f>
        <v xml:space="preserve"> </v>
      </c>
    </row>
    <row r="197" spans="3:17">
      <c r="C197" s="1806">
        <v>1901001</v>
      </c>
      <c r="D197" s="1351"/>
      <c r="E197" s="1806" t="s">
        <v>1277</v>
      </c>
      <c r="F197" s="778"/>
      <c r="G197" s="777" t="s">
        <v>1285</v>
      </c>
      <c r="H197" s="779">
        <f>-H196</f>
        <v>-326930490.03929996</v>
      </c>
      <c r="I197" s="780" t="s">
        <v>291</v>
      </c>
      <c r="J197" s="1342">
        <f t="shared" ref="J197" si="37">IF(I197="e",H197," ")</f>
        <v>-326930490.03929996</v>
      </c>
      <c r="K197" s="1326" t="str">
        <f t="shared" ref="K197" si="38">IF($I197="T",$H197," ")</f>
        <v xml:space="preserve"> </v>
      </c>
      <c r="L197" s="1326" t="str">
        <f t="shared" ref="L197" si="39">IF($I197="PTD",$H197," ")</f>
        <v xml:space="preserve"> </v>
      </c>
      <c r="M197" s="1342" t="str">
        <f t="shared" ref="M197" si="40">IF($I197="T&amp;D",$H197," ")</f>
        <v xml:space="preserve"> </v>
      </c>
      <c r="N197" s="1342" t="str">
        <f t="shared" ref="N197" si="41">IF(I197="Labor",H197," ")</f>
        <v xml:space="preserve"> </v>
      </c>
    </row>
    <row r="198" spans="3:17">
      <c r="C198" s="1806"/>
      <c r="D198" s="1351"/>
      <c r="E198" s="1806"/>
      <c r="F198" s="778"/>
      <c r="G198" s="777"/>
      <c r="H198" s="779"/>
      <c r="I198" s="780"/>
      <c r="J198" s="1342"/>
      <c r="K198" s="1326"/>
      <c r="L198" s="1326"/>
      <c r="M198" s="1342"/>
      <c r="N198" s="1342"/>
    </row>
    <row r="199" spans="3:17">
      <c r="C199" s="778"/>
      <c r="D199" s="1351"/>
      <c r="E199" s="1818"/>
      <c r="F199" s="778"/>
      <c r="G199" s="778"/>
      <c r="H199" s="799"/>
      <c r="I199" s="806"/>
      <c r="J199" s="1342"/>
      <c r="K199" s="1326"/>
      <c r="L199" s="1326"/>
      <c r="M199" s="1342"/>
      <c r="N199" s="1342"/>
    </row>
    <row r="200" spans="3:17">
      <c r="C200" s="1806">
        <v>1901002</v>
      </c>
      <c r="D200" s="1351"/>
      <c r="E200" s="1806">
        <v>3511</v>
      </c>
      <c r="F200" s="778"/>
      <c r="G200" s="777" t="s">
        <v>1781</v>
      </c>
      <c r="H200" s="779">
        <v>-2259479</v>
      </c>
      <c r="I200" s="780" t="s">
        <v>291</v>
      </c>
      <c r="J200" s="1342">
        <f t="shared" ref="J200" si="42">IF(I200="e",H200," ")</f>
        <v>-2259479</v>
      </c>
      <c r="K200" s="1326" t="str">
        <f t="shared" si="30"/>
        <v xml:space="preserve"> </v>
      </c>
      <c r="L200" s="1326" t="str">
        <f t="shared" si="31"/>
        <v xml:space="preserve"> </v>
      </c>
      <c r="M200" s="1342" t="str">
        <f t="shared" si="32"/>
        <v xml:space="preserve"> </v>
      </c>
      <c r="N200" s="1342" t="str">
        <f t="shared" ref="N200" si="43">IF(I200="Labor",H200," ")</f>
        <v xml:space="preserve"> </v>
      </c>
    </row>
    <row r="201" spans="3:17">
      <c r="C201" s="1806">
        <v>1901002</v>
      </c>
      <c r="D201" s="1351"/>
      <c r="E201" s="1806">
        <v>4004</v>
      </c>
      <c r="F201" s="778"/>
      <c r="G201" s="777" t="s">
        <v>1782</v>
      </c>
      <c r="H201" s="779">
        <v>13932838.279999999</v>
      </c>
      <c r="I201" s="780" t="s">
        <v>291</v>
      </c>
      <c r="J201" s="1342">
        <f t="shared" ref="J201:J203" si="44">IF(I201="e",H201," ")</f>
        <v>13932838.279999999</v>
      </c>
      <c r="K201" s="1326" t="str">
        <f t="shared" si="30"/>
        <v xml:space="preserve"> </v>
      </c>
      <c r="L201" s="1326" t="str">
        <f t="shared" si="31"/>
        <v xml:space="preserve"> </v>
      </c>
      <c r="M201" s="1342" t="str">
        <f t="shared" si="32"/>
        <v xml:space="preserve"> </v>
      </c>
      <c r="N201" s="1342" t="str">
        <f t="shared" ref="N201:N203" si="45">IF(I201="Labor",H201," ")</f>
        <v xml:space="preserve"> </v>
      </c>
    </row>
    <row r="202" spans="3:17">
      <c r="C202" s="1806">
        <v>1901002</v>
      </c>
      <c r="D202" s="1351"/>
      <c r="E202" s="1806">
        <v>4018</v>
      </c>
      <c r="F202" s="778"/>
      <c r="G202" s="777" t="s">
        <v>1783</v>
      </c>
      <c r="H202" s="779">
        <v>45775742.899999999</v>
      </c>
      <c r="I202" s="780" t="s">
        <v>291</v>
      </c>
      <c r="J202" s="1342">
        <f t="shared" si="44"/>
        <v>45775742.899999999</v>
      </c>
      <c r="K202" s="1326" t="str">
        <f t="shared" ref="K202:K203" si="46">IF($I202="T",$H202," ")</f>
        <v xml:space="preserve"> </v>
      </c>
      <c r="L202" s="1326" t="str">
        <f t="shared" ref="L202:L203" si="47">IF($I202="PTD",$H202," ")</f>
        <v xml:space="preserve"> </v>
      </c>
      <c r="M202" s="1342" t="str">
        <f t="shared" ref="M202:M203" si="48">IF($I202="T&amp;D",$H202," ")</f>
        <v xml:space="preserve"> </v>
      </c>
      <c r="N202" s="1342" t="str">
        <f t="shared" si="45"/>
        <v xml:space="preserve"> </v>
      </c>
    </row>
    <row r="203" spans="3:17">
      <c r="C203" s="1806">
        <v>1901002</v>
      </c>
      <c r="D203" s="1351"/>
      <c r="E203" s="1806">
        <v>4031</v>
      </c>
      <c r="F203" s="778"/>
      <c r="G203" s="777" t="s">
        <v>1698</v>
      </c>
      <c r="H203" s="779">
        <v>399305.16</v>
      </c>
      <c r="I203" s="780" t="s">
        <v>291</v>
      </c>
      <c r="J203" s="1342">
        <f t="shared" si="44"/>
        <v>399305.16</v>
      </c>
      <c r="K203" s="1326" t="str">
        <f t="shared" si="46"/>
        <v xml:space="preserve"> </v>
      </c>
      <c r="L203" s="1326" t="str">
        <f t="shared" si="47"/>
        <v xml:space="preserve"> </v>
      </c>
      <c r="M203" s="1342" t="str">
        <f t="shared" si="48"/>
        <v xml:space="preserve"> </v>
      </c>
      <c r="N203" s="1342" t="str">
        <f t="shared" si="45"/>
        <v xml:space="preserve"> </v>
      </c>
    </row>
    <row r="204" spans="3:17">
      <c r="C204" s="1343"/>
      <c r="D204" s="1339"/>
      <c r="E204" s="1341"/>
      <c r="F204" s="778"/>
      <c r="G204" s="1343"/>
      <c r="H204" s="1340"/>
      <c r="I204" s="1341"/>
      <c r="J204" s="1342"/>
      <c r="K204" s="1326"/>
      <c r="L204" s="1326"/>
      <c r="M204" s="1342"/>
      <c r="N204" s="1342"/>
    </row>
    <row r="205" spans="3:17">
      <c r="C205" s="1352"/>
      <c r="J205" s="1350"/>
    </row>
    <row r="206" spans="3:17" ht="13">
      <c r="C206" s="33">
        <v>190.1</v>
      </c>
      <c r="D206" s="286"/>
      <c r="G206" s="561" t="s">
        <v>159</v>
      </c>
      <c r="H206" s="801">
        <f>SUM(H136:H205)</f>
        <v>206830804.90000001</v>
      </c>
      <c r="I206" s="1326"/>
      <c r="J206" s="801">
        <f>SUM(J136:J205)</f>
        <v>-120718485.77929997</v>
      </c>
      <c r="K206" s="801">
        <f>SUM(K136:K205)</f>
        <v>0</v>
      </c>
      <c r="L206" s="801">
        <f>SUM(L136:L205)</f>
        <v>327427616.48929995</v>
      </c>
      <c r="M206" s="801">
        <f>SUM(M136:M205)</f>
        <v>0</v>
      </c>
      <c r="N206" s="801">
        <f>SUM(N136:N205)</f>
        <v>121674.19</v>
      </c>
      <c r="O206"/>
      <c r="P206" s="1326">
        <f>SUM(J206:O206)</f>
        <v>206830804.89999998</v>
      </c>
      <c r="Q206" s="1326"/>
    </row>
    <row r="207" spans="3:17">
      <c r="G207" s="1346" t="s">
        <v>129</v>
      </c>
      <c r="H207" s="1340">
        <v>206830805</v>
      </c>
      <c r="I207"/>
      <c r="J207" s="1347"/>
    </row>
    <row r="208" spans="3:17">
      <c r="G208" s="1346"/>
      <c r="H208" s="1353"/>
      <c r="I208" s="1350"/>
    </row>
    <row r="209" spans="10:10">
      <c r="J209" s="1350"/>
    </row>
    <row r="226" spans="4:8">
      <c r="D226" s="1345"/>
      <c r="H226" s="1354"/>
    </row>
    <row r="262" spans="4:6">
      <c r="D262" s="286"/>
      <c r="F262" s="1336"/>
    </row>
    <row r="263" spans="4:6">
      <c r="D263" s="286"/>
    </row>
    <row r="264" spans="4:6">
      <c r="D264" s="286"/>
    </row>
    <row r="265" spans="4:6">
      <c r="D265" s="286"/>
    </row>
    <row r="266" spans="4:6">
      <c r="D266" s="286"/>
    </row>
    <row r="267" spans="4:6">
      <c r="D267" s="286"/>
    </row>
    <row r="268" spans="4:6">
      <c r="D268" s="286"/>
    </row>
    <row r="269" spans="4:6">
      <c r="D269" s="286"/>
    </row>
    <row r="270" spans="4:6">
      <c r="D270" s="286"/>
    </row>
    <row r="271" spans="4:6">
      <c r="D271" s="286"/>
    </row>
    <row r="272" spans="4:6">
      <c r="D272" s="286"/>
    </row>
    <row r="273" spans="4:4">
      <c r="D273" s="286"/>
    </row>
    <row r="274" spans="4:4">
      <c r="D274" s="286"/>
    </row>
    <row r="275" spans="4:4">
      <c r="D275" s="286"/>
    </row>
    <row r="276" spans="4:4">
      <c r="D276" s="286"/>
    </row>
    <row r="277" spans="4:4">
      <c r="D277" s="286"/>
    </row>
    <row r="278" spans="4:4">
      <c r="D278" s="286"/>
    </row>
    <row r="279" spans="4:4">
      <c r="D279" s="286"/>
    </row>
    <row r="280" spans="4:4">
      <c r="D280" s="286"/>
    </row>
    <row r="281" spans="4:4">
      <c r="D281" s="286"/>
    </row>
    <row r="282" spans="4:4">
      <c r="D282" s="286"/>
    </row>
    <row r="283" spans="4:4">
      <c r="D283" s="286"/>
    </row>
    <row r="284" spans="4:4">
      <c r="D284" s="286"/>
    </row>
    <row r="285" spans="4:4">
      <c r="D285" s="286"/>
    </row>
    <row r="286" spans="4:4">
      <c r="D286" s="286"/>
    </row>
    <row r="287" spans="4:4">
      <c r="D287" s="286"/>
    </row>
    <row r="288" spans="4:4">
      <c r="D288" s="286"/>
    </row>
    <row r="289" spans="1:15">
      <c r="D289" s="286"/>
    </row>
    <row r="290" spans="1:15">
      <c r="D290" s="286"/>
    </row>
    <row r="291" spans="1:15">
      <c r="D291" s="286"/>
    </row>
    <row r="292" spans="1:15" s="1337" customFormat="1">
      <c r="A292" s="286"/>
      <c r="B292" s="286"/>
      <c r="C292" s="286"/>
      <c r="D292" s="286"/>
      <c r="E292" s="354"/>
      <c r="F292" s="286"/>
      <c r="G292" s="286"/>
      <c r="I292" s="286"/>
      <c r="J292" s="286"/>
      <c r="K292" s="286"/>
      <c r="L292" s="286"/>
      <c r="M292" s="286"/>
      <c r="N292" s="286"/>
      <c r="O292" s="286"/>
    </row>
    <row r="293" spans="1:15" s="1337" customFormat="1">
      <c r="A293" s="286"/>
      <c r="B293" s="286"/>
      <c r="C293" s="286"/>
      <c r="D293" s="286"/>
      <c r="E293" s="354"/>
      <c r="F293" s="286"/>
      <c r="G293" s="286"/>
      <c r="I293" s="286"/>
      <c r="J293" s="286"/>
      <c r="K293" s="286"/>
      <c r="L293" s="286"/>
      <c r="M293" s="286"/>
      <c r="N293" s="286"/>
      <c r="O293" s="286"/>
    </row>
    <row r="294" spans="1:15" s="1337" customFormat="1">
      <c r="A294" s="286"/>
      <c r="B294" s="286"/>
      <c r="C294" s="286"/>
      <c r="D294" s="286"/>
      <c r="E294" s="354"/>
      <c r="F294" s="286"/>
      <c r="G294" s="286"/>
      <c r="I294" s="286"/>
      <c r="J294" s="286"/>
      <c r="K294" s="286"/>
      <c r="L294" s="286"/>
      <c r="M294" s="286"/>
      <c r="N294" s="286"/>
      <c r="O294" s="286"/>
    </row>
    <row r="295" spans="1:15" s="1337" customFormat="1">
      <c r="A295" s="286"/>
      <c r="B295" s="286"/>
      <c r="C295" s="286"/>
      <c r="D295" s="286"/>
      <c r="E295" s="354"/>
      <c r="F295" s="286"/>
      <c r="G295" s="286"/>
      <c r="I295" s="286"/>
      <c r="J295" s="286"/>
      <c r="K295" s="286"/>
      <c r="L295" s="286"/>
      <c r="M295" s="286"/>
      <c r="N295" s="286"/>
      <c r="O295" s="286"/>
    </row>
    <row r="296" spans="1:15" s="1337" customFormat="1">
      <c r="A296" s="286"/>
      <c r="B296" s="286"/>
      <c r="C296" s="286"/>
      <c r="D296" s="286"/>
      <c r="E296" s="354"/>
      <c r="F296" s="286"/>
      <c r="G296" s="286"/>
      <c r="I296" s="286"/>
      <c r="J296" s="286"/>
      <c r="K296" s="286"/>
      <c r="L296" s="286"/>
      <c r="M296" s="286"/>
      <c r="N296" s="286"/>
      <c r="O296" s="286"/>
    </row>
    <row r="297" spans="1:15" s="1337" customFormat="1">
      <c r="A297" s="286"/>
      <c r="B297" s="286"/>
      <c r="C297" s="286"/>
      <c r="D297" s="286"/>
      <c r="E297" s="354"/>
      <c r="F297" s="286"/>
      <c r="G297" s="286"/>
      <c r="I297" s="286"/>
      <c r="J297" s="286"/>
      <c r="K297" s="286"/>
      <c r="L297" s="286"/>
      <c r="M297" s="286"/>
      <c r="N297" s="286"/>
      <c r="O297" s="286"/>
    </row>
    <row r="298" spans="1:15" s="1337" customFormat="1">
      <c r="A298" s="286"/>
      <c r="B298" s="286"/>
      <c r="C298" s="286"/>
      <c r="D298" s="1345"/>
      <c r="E298" s="354"/>
      <c r="F298" s="286"/>
      <c r="G298" s="286"/>
      <c r="I298" s="286"/>
      <c r="J298" s="286"/>
      <c r="K298" s="286"/>
      <c r="L298" s="286"/>
      <c r="M298" s="286"/>
      <c r="N298" s="286"/>
      <c r="O298" s="286"/>
    </row>
    <row r="299" spans="1:15" s="1337" customFormat="1">
      <c r="A299" s="286"/>
      <c r="B299" s="286"/>
      <c r="C299" s="286"/>
      <c r="D299" s="1345"/>
      <c r="E299" s="354"/>
      <c r="F299" s="286"/>
      <c r="G299" s="286"/>
      <c r="I299" s="286"/>
      <c r="J299" s="286"/>
      <c r="K299" s="286"/>
      <c r="L299" s="286"/>
      <c r="M299" s="286"/>
      <c r="N299" s="286"/>
      <c r="O299" s="286"/>
    </row>
    <row r="300" spans="1:15" s="1337" customFormat="1">
      <c r="A300" s="286"/>
      <c r="B300" s="286"/>
      <c r="C300" s="286"/>
      <c r="D300" s="1345"/>
      <c r="E300" s="354"/>
      <c r="F300" s="286"/>
      <c r="G300" s="286"/>
      <c r="I300" s="286"/>
      <c r="J300" s="286"/>
      <c r="K300" s="286"/>
      <c r="L300" s="286"/>
      <c r="M300" s="286"/>
      <c r="N300" s="286"/>
      <c r="O300" s="286"/>
    </row>
    <row r="301" spans="1:15" s="1337" customFormat="1">
      <c r="A301" s="286"/>
      <c r="B301" s="286"/>
      <c r="C301" s="286"/>
      <c r="D301" s="1345"/>
      <c r="E301" s="354"/>
      <c r="F301" s="286"/>
      <c r="G301" s="286"/>
      <c r="I301" s="286"/>
      <c r="J301" s="286"/>
      <c r="K301" s="286"/>
      <c r="L301" s="286"/>
      <c r="M301" s="286"/>
      <c r="N301" s="286"/>
      <c r="O301" s="286"/>
    </row>
    <row r="302" spans="1:15" s="1337" customFormat="1">
      <c r="A302" s="286"/>
      <c r="B302" s="286"/>
      <c r="C302" s="286"/>
      <c r="D302" s="1345"/>
      <c r="E302" s="354"/>
      <c r="F302" s="286"/>
      <c r="G302" s="286"/>
      <c r="I302" s="286"/>
      <c r="J302" s="286"/>
      <c r="K302" s="286"/>
      <c r="L302" s="286"/>
      <c r="M302" s="286"/>
      <c r="N302" s="286"/>
      <c r="O302" s="286"/>
    </row>
    <row r="303" spans="1:15" s="1337" customFormat="1">
      <c r="A303" s="286"/>
      <c r="B303" s="286"/>
      <c r="C303" s="286"/>
      <c r="D303" s="1345"/>
      <c r="E303" s="354"/>
      <c r="F303" s="286"/>
      <c r="G303" s="286"/>
      <c r="I303" s="286"/>
      <c r="J303" s="286"/>
      <c r="K303" s="286"/>
      <c r="L303" s="286"/>
      <c r="M303" s="286"/>
      <c r="N303" s="286"/>
      <c r="O303" s="286"/>
    </row>
  </sheetData>
  <mergeCells count="5">
    <mergeCell ref="C3:N3"/>
    <mergeCell ref="C4:N4"/>
    <mergeCell ref="C5:N5"/>
    <mergeCell ref="C6:N6"/>
    <mergeCell ref="J8:N8"/>
  </mergeCells>
  <conditionalFormatting sqref="O45">
    <cfRule type="cellIs" dxfId="2" priority="1" stopIfTrue="1" operator="equal">
      <formula>FALSE</formula>
    </cfRule>
  </conditionalFormatting>
  <printOptions horizontalCentered="1"/>
  <pageMargins left="0.25" right="0.25" top="1" bottom="0.25" header="0.65" footer="0.5"/>
  <pageSetup scale="44" fitToHeight="0" orientation="portrait" horizontalDpi="1200" verticalDpi="1200" r:id="rId1"/>
  <headerFooter alignWithMargins="0">
    <oddHeader xml:space="preserve">&amp;R&amp;18AEP - SPP Formula Rate
TCOS - WS-C-2
Page: &amp;P of &amp;N
</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V63"/>
  <sheetViews>
    <sheetView topLeftCell="A5" zoomScale="90" zoomScaleNormal="90" zoomScaleSheetLayoutView="90" zoomScalePageLayoutView="90" workbookViewId="0">
      <selection activeCell="M17" sqref="M17"/>
    </sheetView>
  </sheetViews>
  <sheetFormatPr defaultColWidth="9.1796875" defaultRowHeight="12.5"/>
  <cols>
    <col min="1" max="1" width="9.1796875" style="286"/>
    <col min="2" max="2" width="33.54296875" style="286" customWidth="1"/>
    <col min="3" max="3" width="16" style="286" customWidth="1"/>
    <col min="4" max="4" width="16.81640625" style="286" customWidth="1"/>
    <col min="5" max="6" width="12" style="286" customWidth="1"/>
    <col min="7" max="7" width="15" style="286" customWidth="1"/>
    <col min="8" max="8" width="17.1796875" style="286" customWidth="1"/>
    <col min="9" max="9" width="16.54296875" style="286" customWidth="1"/>
    <col min="10" max="16384" width="9.1796875" style="286"/>
  </cols>
  <sheetData>
    <row r="1" spans="1:256" ht="15.5">
      <c r="A1" s="206"/>
    </row>
    <row r="3" spans="1:256" ht="18" customHeight="1">
      <c r="A3" s="2292" t="str">
        <f>+'SWEPCO TCOS'!F4</f>
        <v xml:space="preserve">AEP West SPP Member Operating Companies </v>
      </c>
      <c r="B3" s="2292"/>
      <c r="C3" s="2292"/>
      <c r="D3" s="2292"/>
      <c r="E3" s="2292"/>
      <c r="F3" s="2292"/>
      <c r="G3" s="2292"/>
      <c r="H3" s="2292"/>
      <c r="I3" s="2292"/>
      <c r="J3" s="814"/>
      <c r="K3" s="814"/>
      <c r="L3" s="814"/>
    </row>
    <row r="4" spans="1:256" ht="17.5">
      <c r="A4" s="2410" t="str">
        <f>+'SWEPCO TCOS'!F8</f>
        <v>SOUTHWESTERN ELECTRIC POWER COMPANY</v>
      </c>
      <c r="B4" s="2410"/>
      <c r="C4" s="2410"/>
      <c r="D4" s="2410"/>
      <c r="E4" s="2410"/>
      <c r="F4" s="2410"/>
      <c r="G4" s="2410"/>
      <c r="H4" s="2410"/>
      <c r="I4" s="2410"/>
      <c r="J4" s="1356"/>
      <c r="K4" s="1356"/>
      <c r="L4" s="1356"/>
    </row>
    <row r="5" spans="1:256" ht="18">
      <c r="A5" s="2405" t="s">
        <v>654</v>
      </c>
      <c r="B5" s="2405"/>
      <c r="C5" s="2405"/>
      <c r="D5" s="2405"/>
      <c r="E5" s="2405"/>
      <c r="F5" s="2405"/>
      <c r="G5" s="2405"/>
      <c r="H5" s="2405"/>
      <c r="I5" s="2405"/>
      <c r="J5" s="1356"/>
      <c r="K5" s="1356"/>
      <c r="L5" s="1356"/>
    </row>
    <row r="6" spans="1:256" ht="18">
      <c r="A6" s="2296" t="str">
        <f>"AS OF DECEMBER 31, "&amp;'SWEPCO TCOS'!N2&amp;""</f>
        <v>AS OF DECEMBER 31, 2024</v>
      </c>
      <c r="B6" s="2296"/>
      <c r="C6" s="2296"/>
      <c r="D6" s="2296"/>
      <c r="E6" s="2296"/>
      <c r="F6" s="2296"/>
      <c r="G6" s="2296"/>
      <c r="H6" s="2296"/>
      <c r="I6" s="2296"/>
      <c r="J6" s="35"/>
      <c r="K6" s="35"/>
      <c r="L6" s="35"/>
    </row>
    <row r="7" spans="1:256" ht="15.5">
      <c r="A7" s="1357"/>
      <c r="B7" s="2411"/>
      <c r="C7" s="2411"/>
      <c r="D7" s="2411"/>
      <c r="E7" s="2411"/>
      <c r="F7" s="1358"/>
      <c r="G7" s="1358"/>
      <c r="H7" s="1358"/>
      <c r="I7" s="1358"/>
      <c r="J7" s="1357"/>
      <c r="K7" s="1357"/>
      <c r="L7" s="1357"/>
      <c r="M7" s="1357"/>
      <c r="N7" s="1357"/>
      <c r="O7" s="1357"/>
      <c r="P7" s="1357"/>
      <c r="Q7" s="1357"/>
      <c r="R7" s="1357"/>
      <c r="S7" s="1357"/>
      <c r="T7" s="1357"/>
      <c r="U7" s="1357"/>
      <c r="V7" s="1357"/>
      <c r="W7" s="1357"/>
      <c r="X7" s="1357"/>
      <c r="Y7" s="1357"/>
      <c r="Z7" s="1357"/>
      <c r="AA7" s="1357"/>
      <c r="AB7" s="1357"/>
      <c r="AC7" s="1357"/>
      <c r="AD7" s="1357"/>
      <c r="AE7" s="1357"/>
      <c r="AF7" s="1357"/>
      <c r="AG7" s="1357"/>
      <c r="AH7" s="1357"/>
      <c r="AI7" s="1357"/>
      <c r="AJ7" s="1357"/>
      <c r="AK7" s="1357"/>
      <c r="AL7" s="1357"/>
      <c r="AM7" s="1357"/>
      <c r="AN7" s="1357"/>
      <c r="AO7" s="1357"/>
      <c r="AP7" s="1357"/>
      <c r="AQ7" s="1357"/>
      <c r="AR7" s="1357"/>
      <c r="AS7" s="1357"/>
      <c r="AT7" s="1357"/>
      <c r="AU7" s="1357"/>
      <c r="AV7" s="1357"/>
      <c r="AW7" s="1357"/>
      <c r="AX7" s="1357"/>
      <c r="AY7" s="1357"/>
      <c r="AZ7" s="1357"/>
      <c r="BA7" s="1357"/>
      <c r="BB7" s="1357"/>
      <c r="BC7" s="1357"/>
      <c r="BD7" s="1357"/>
      <c r="BE7" s="1357"/>
      <c r="BF7" s="1357"/>
      <c r="BG7" s="1357"/>
      <c r="BH7" s="1357"/>
      <c r="BI7" s="1357"/>
      <c r="BJ7" s="1357"/>
      <c r="BK7" s="1357"/>
      <c r="BL7" s="1357"/>
      <c r="BM7" s="1357"/>
      <c r="BN7" s="1357"/>
      <c r="BO7" s="1357"/>
      <c r="BP7" s="1357"/>
      <c r="BQ7" s="1357"/>
      <c r="BR7" s="1357"/>
      <c r="BS7" s="1357"/>
      <c r="BT7" s="1357"/>
      <c r="BU7" s="1357"/>
      <c r="BV7" s="1357"/>
      <c r="BW7" s="1357"/>
      <c r="BX7" s="1357"/>
      <c r="BY7" s="1357"/>
      <c r="BZ7" s="1357"/>
      <c r="CA7" s="1357"/>
      <c r="CB7" s="1357"/>
      <c r="CC7" s="1357"/>
      <c r="CD7" s="1357"/>
      <c r="CE7" s="1357"/>
      <c r="CF7" s="1357"/>
      <c r="CG7" s="1357"/>
      <c r="CH7" s="1357"/>
      <c r="CI7" s="1357"/>
      <c r="CJ7" s="1357"/>
      <c r="CK7" s="1357"/>
      <c r="CL7" s="1357"/>
      <c r="CM7" s="1357"/>
      <c r="CN7" s="1357"/>
      <c r="CO7" s="1357"/>
      <c r="CP7" s="1357"/>
      <c r="CQ7" s="1357"/>
      <c r="CR7" s="1357"/>
      <c r="CS7" s="1357"/>
      <c r="CT7" s="1357"/>
      <c r="CU7" s="1357"/>
      <c r="CV7" s="1357"/>
      <c r="CW7" s="1357"/>
      <c r="CX7" s="1357"/>
      <c r="CY7" s="1357"/>
      <c r="CZ7" s="1357"/>
      <c r="DA7" s="1357"/>
      <c r="DB7" s="1357"/>
      <c r="DC7" s="1357"/>
      <c r="DD7" s="1357"/>
      <c r="DE7" s="1357"/>
      <c r="DF7" s="1357"/>
      <c r="DG7" s="1357"/>
      <c r="DH7" s="1357"/>
      <c r="DI7" s="1357"/>
      <c r="DJ7" s="1357"/>
      <c r="DK7" s="1357"/>
      <c r="DL7" s="1357"/>
      <c r="DM7" s="1357"/>
      <c r="DN7" s="1357"/>
      <c r="DO7" s="1357"/>
      <c r="DP7" s="1357"/>
      <c r="DQ7" s="1357"/>
      <c r="DR7" s="1357"/>
      <c r="DS7" s="1357"/>
      <c r="DT7" s="1357"/>
      <c r="DU7" s="1357"/>
      <c r="DV7" s="1357"/>
      <c r="DW7" s="1357"/>
      <c r="DX7" s="1357"/>
      <c r="DY7" s="1357"/>
      <c r="DZ7" s="1357"/>
      <c r="EA7" s="1357"/>
      <c r="EB7" s="1357"/>
      <c r="EC7" s="1357"/>
      <c r="ED7" s="1357"/>
      <c r="EE7" s="1357"/>
      <c r="EF7" s="1357"/>
      <c r="EG7" s="1357"/>
      <c r="EH7" s="1357"/>
      <c r="EI7" s="1357"/>
      <c r="EJ7" s="1357"/>
      <c r="EK7" s="1357"/>
      <c r="EL7" s="1357"/>
      <c r="EM7" s="1357"/>
      <c r="EN7" s="1357"/>
      <c r="EO7" s="1357"/>
      <c r="EP7" s="1357"/>
      <c r="EQ7" s="1357"/>
      <c r="ER7" s="1357"/>
      <c r="ES7" s="1357"/>
      <c r="ET7" s="1357"/>
      <c r="EU7" s="1357"/>
      <c r="EV7" s="1357"/>
      <c r="EW7" s="1357"/>
      <c r="EX7" s="1357"/>
      <c r="EY7" s="1357"/>
      <c r="EZ7" s="1357"/>
      <c r="FA7" s="1357"/>
      <c r="FB7" s="1357"/>
      <c r="FC7" s="1357"/>
      <c r="FD7" s="1357"/>
      <c r="FE7" s="1357"/>
      <c r="FF7" s="1357"/>
      <c r="FG7" s="1357"/>
      <c r="FH7" s="1357"/>
      <c r="FI7" s="1357"/>
      <c r="FJ7" s="1357"/>
      <c r="FK7" s="1357"/>
      <c r="FL7" s="1357"/>
      <c r="FM7" s="1357"/>
      <c r="FN7" s="1357"/>
      <c r="FO7" s="1357"/>
      <c r="FP7" s="1357"/>
      <c r="FQ7" s="1357"/>
      <c r="FR7" s="1357"/>
      <c r="FS7" s="1357"/>
      <c r="FT7" s="1357"/>
      <c r="FU7" s="1357"/>
      <c r="FV7" s="1357"/>
      <c r="FW7" s="1357"/>
      <c r="FX7" s="1357"/>
      <c r="FY7" s="1357"/>
      <c r="FZ7" s="1357"/>
      <c r="GA7" s="1357"/>
      <c r="GB7" s="1357"/>
      <c r="GC7" s="1357"/>
      <c r="GD7" s="1357"/>
      <c r="GE7" s="1357"/>
      <c r="GF7" s="1357"/>
      <c r="GG7" s="1357"/>
      <c r="GH7" s="1357"/>
      <c r="GI7" s="1357"/>
      <c r="GJ7" s="1357"/>
      <c r="GK7" s="1357"/>
      <c r="GL7" s="1357"/>
      <c r="GM7" s="1357"/>
      <c r="GN7" s="1357"/>
      <c r="GO7" s="1357"/>
      <c r="GP7" s="1357"/>
      <c r="GQ7" s="1357"/>
      <c r="GR7" s="1357"/>
      <c r="GS7" s="1357"/>
      <c r="GT7" s="1357"/>
      <c r="GU7" s="1357"/>
      <c r="GV7" s="1357"/>
      <c r="GW7" s="1357"/>
      <c r="GX7" s="1357"/>
      <c r="GY7" s="1357"/>
      <c r="GZ7" s="1357"/>
      <c r="HA7" s="1357"/>
      <c r="HB7" s="1357"/>
      <c r="HC7" s="1357"/>
      <c r="HD7" s="1357"/>
      <c r="HE7" s="1357"/>
      <c r="HF7" s="1357"/>
      <c r="HG7" s="1357"/>
      <c r="HH7" s="1357"/>
      <c r="HI7" s="1357"/>
      <c r="HJ7" s="1357"/>
      <c r="HK7" s="1357"/>
      <c r="HL7" s="1357"/>
      <c r="HM7" s="1357"/>
      <c r="HN7" s="1357"/>
      <c r="HO7" s="1357"/>
      <c r="HP7" s="1357"/>
      <c r="HQ7" s="1357"/>
      <c r="HR7" s="1357"/>
      <c r="HS7" s="1357"/>
      <c r="HT7" s="1357"/>
      <c r="HU7" s="1357"/>
      <c r="HV7" s="1357"/>
      <c r="HW7" s="1357"/>
      <c r="HX7" s="1357"/>
      <c r="HY7" s="1357"/>
      <c r="HZ7" s="1357"/>
      <c r="IA7" s="1357"/>
      <c r="IB7" s="1357"/>
      <c r="IC7" s="1357"/>
      <c r="ID7" s="1357"/>
      <c r="IE7" s="1357"/>
      <c r="IF7" s="1357"/>
      <c r="IG7" s="1357"/>
      <c r="IH7" s="1357"/>
      <c r="II7" s="1357"/>
      <c r="IJ7" s="1357"/>
      <c r="IK7" s="1357"/>
      <c r="IL7" s="1357"/>
      <c r="IM7" s="1357"/>
      <c r="IN7" s="1357"/>
      <c r="IO7" s="1357"/>
      <c r="IP7" s="1357"/>
      <c r="IQ7" s="1357"/>
      <c r="IR7" s="1357"/>
      <c r="IS7" s="1357"/>
      <c r="IT7" s="1357"/>
      <c r="IU7" s="1357"/>
      <c r="IV7" s="1357"/>
    </row>
    <row r="8" spans="1:256" ht="57" customHeight="1">
      <c r="A8" s="2412" t="s">
        <v>640</v>
      </c>
      <c r="B8" s="2412"/>
      <c r="C8" s="2412"/>
      <c r="D8" s="2412"/>
      <c r="E8" s="2412"/>
      <c r="F8" s="2412"/>
      <c r="G8" s="2412"/>
      <c r="H8" s="2412"/>
      <c r="I8" s="2412"/>
      <c r="J8" s="1357"/>
      <c r="K8" s="1357"/>
      <c r="L8" s="1357"/>
      <c r="M8" s="1357"/>
      <c r="N8" s="1357"/>
      <c r="O8" s="1357"/>
      <c r="P8" s="1357"/>
      <c r="Q8" s="1357"/>
      <c r="R8" s="1357"/>
      <c r="S8" s="1357"/>
      <c r="T8" s="1357"/>
      <c r="U8" s="1357"/>
      <c r="V8" s="1357"/>
      <c r="W8" s="1357"/>
      <c r="X8" s="1357"/>
      <c r="Y8" s="1357"/>
      <c r="Z8" s="1357"/>
      <c r="AA8" s="1357"/>
      <c r="AB8" s="1357"/>
      <c r="AC8" s="1357"/>
      <c r="AD8" s="1357"/>
      <c r="AE8" s="1357"/>
      <c r="AF8" s="1357"/>
      <c r="AG8" s="1357"/>
      <c r="AH8" s="1357"/>
      <c r="AI8" s="1357"/>
      <c r="AJ8" s="1357"/>
      <c r="AK8" s="1357"/>
      <c r="AL8" s="1357"/>
      <c r="AM8" s="1357"/>
      <c r="AN8" s="1357"/>
      <c r="AO8" s="1357"/>
      <c r="AP8" s="1357"/>
      <c r="AQ8" s="1357"/>
      <c r="AR8" s="1357"/>
      <c r="AS8" s="1357"/>
      <c r="AT8" s="1357"/>
      <c r="AU8" s="1357"/>
      <c r="AV8" s="1357"/>
      <c r="AW8" s="1357"/>
      <c r="AX8" s="1357"/>
      <c r="AY8" s="1357"/>
      <c r="AZ8" s="1357"/>
      <c r="BA8" s="1357"/>
      <c r="BB8" s="1357"/>
      <c r="BC8" s="1357"/>
      <c r="BD8" s="1357"/>
      <c r="BE8" s="1357"/>
      <c r="BF8" s="1357"/>
      <c r="BG8" s="1357"/>
      <c r="BH8" s="1357"/>
      <c r="BI8" s="1357"/>
      <c r="BJ8" s="1357"/>
      <c r="BK8" s="1357"/>
      <c r="BL8" s="1357"/>
      <c r="BM8" s="1357"/>
      <c r="BN8" s="1357"/>
      <c r="BO8" s="1357"/>
      <c r="BP8" s="1357"/>
      <c r="BQ8" s="1357"/>
      <c r="BR8" s="1357"/>
      <c r="BS8" s="1357"/>
      <c r="BT8" s="1357"/>
      <c r="BU8" s="1357"/>
      <c r="BV8" s="1357"/>
      <c r="BW8" s="1357"/>
      <c r="BX8" s="1357"/>
      <c r="BY8" s="1357"/>
      <c r="BZ8" s="1357"/>
      <c r="CA8" s="1357"/>
      <c r="CB8" s="1357"/>
      <c r="CC8" s="1357"/>
      <c r="CD8" s="1357"/>
      <c r="CE8" s="1357"/>
      <c r="CF8" s="1357"/>
      <c r="CG8" s="1357"/>
      <c r="CH8" s="1357"/>
      <c r="CI8" s="1357"/>
      <c r="CJ8" s="1357"/>
      <c r="CK8" s="1357"/>
      <c r="CL8" s="1357"/>
      <c r="CM8" s="1357"/>
      <c r="CN8" s="1357"/>
      <c r="CO8" s="1357"/>
      <c r="CP8" s="1357"/>
      <c r="CQ8" s="1357"/>
      <c r="CR8" s="1357"/>
      <c r="CS8" s="1357"/>
      <c r="CT8" s="1357"/>
      <c r="CU8" s="1357"/>
      <c r="CV8" s="1357"/>
      <c r="CW8" s="1357"/>
      <c r="CX8" s="1357"/>
      <c r="CY8" s="1357"/>
      <c r="CZ8" s="1357"/>
      <c r="DA8" s="1357"/>
      <c r="DB8" s="1357"/>
      <c r="DC8" s="1357"/>
      <c r="DD8" s="1357"/>
      <c r="DE8" s="1357"/>
      <c r="DF8" s="1357"/>
      <c r="DG8" s="1357"/>
      <c r="DH8" s="1357"/>
      <c r="DI8" s="1357"/>
      <c r="DJ8" s="1357"/>
      <c r="DK8" s="1357"/>
      <c r="DL8" s="1357"/>
      <c r="DM8" s="1357"/>
      <c r="DN8" s="1357"/>
      <c r="DO8" s="1357"/>
      <c r="DP8" s="1357"/>
      <c r="DQ8" s="1357"/>
      <c r="DR8" s="1357"/>
      <c r="DS8" s="1357"/>
      <c r="DT8" s="1357"/>
      <c r="DU8" s="1357"/>
      <c r="DV8" s="1357"/>
      <c r="DW8" s="1357"/>
      <c r="DX8" s="1357"/>
      <c r="DY8" s="1357"/>
      <c r="DZ8" s="1357"/>
      <c r="EA8" s="1357"/>
      <c r="EB8" s="1357"/>
      <c r="EC8" s="1357"/>
      <c r="ED8" s="1357"/>
      <c r="EE8" s="1357"/>
      <c r="EF8" s="1357"/>
      <c r="EG8" s="1357"/>
      <c r="EH8" s="1357"/>
      <c r="EI8" s="1357"/>
      <c r="EJ8" s="1357"/>
      <c r="EK8" s="1357"/>
      <c r="EL8" s="1357"/>
      <c r="EM8" s="1357"/>
      <c r="EN8" s="1357"/>
      <c r="EO8" s="1357"/>
      <c r="EP8" s="1357"/>
      <c r="EQ8" s="1357"/>
      <c r="ER8" s="1357"/>
      <c r="ES8" s="1357"/>
      <c r="ET8" s="1357"/>
      <c r="EU8" s="1357"/>
      <c r="EV8" s="1357"/>
      <c r="EW8" s="1357"/>
      <c r="EX8" s="1357"/>
      <c r="EY8" s="1357"/>
      <c r="EZ8" s="1357"/>
      <c r="FA8" s="1357"/>
      <c r="FB8" s="1357"/>
      <c r="FC8" s="1357"/>
      <c r="FD8" s="1357"/>
      <c r="FE8" s="1357"/>
      <c r="FF8" s="1357"/>
      <c r="FG8" s="1357"/>
      <c r="FH8" s="1357"/>
      <c r="FI8" s="1357"/>
      <c r="FJ8" s="1357"/>
      <c r="FK8" s="1357"/>
      <c r="FL8" s="1357"/>
      <c r="FM8" s="1357"/>
      <c r="FN8" s="1357"/>
      <c r="FO8" s="1357"/>
      <c r="FP8" s="1357"/>
      <c r="FQ8" s="1357"/>
      <c r="FR8" s="1357"/>
      <c r="FS8" s="1357"/>
      <c r="FT8" s="1357"/>
      <c r="FU8" s="1357"/>
      <c r="FV8" s="1357"/>
      <c r="FW8" s="1357"/>
      <c r="FX8" s="1357"/>
      <c r="FY8" s="1357"/>
      <c r="FZ8" s="1357"/>
      <c r="GA8" s="1357"/>
      <c r="GB8" s="1357"/>
      <c r="GC8" s="1357"/>
      <c r="GD8" s="1357"/>
      <c r="GE8" s="1357"/>
      <c r="GF8" s="1357"/>
      <c r="GG8" s="1357"/>
      <c r="GH8" s="1357"/>
      <c r="GI8" s="1357"/>
      <c r="GJ8" s="1357"/>
      <c r="GK8" s="1357"/>
      <c r="GL8" s="1357"/>
      <c r="GM8" s="1357"/>
      <c r="GN8" s="1357"/>
      <c r="GO8" s="1357"/>
      <c r="GP8" s="1357"/>
      <c r="GQ8" s="1357"/>
      <c r="GR8" s="1357"/>
      <c r="GS8" s="1357"/>
      <c r="GT8" s="1357"/>
      <c r="GU8" s="1357"/>
      <c r="GV8" s="1357"/>
      <c r="GW8" s="1357"/>
      <c r="GX8" s="1357"/>
      <c r="GY8" s="1357"/>
      <c r="GZ8" s="1357"/>
      <c r="HA8" s="1357"/>
      <c r="HB8" s="1357"/>
      <c r="HC8" s="1357"/>
      <c r="HD8" s="1357"/>
      <c r="HE8" s="1357"/>
      <c r="HF8" s="1357"/>
      <c r="HG8" s="1357"/>
      <c r="HH8" s="1357"/>
      <c r="HI8" s="1357"/>
      <c r="HJ8" s="1357"/>
      <c r="HK8" s="1357"/>
      <c r="HL8" s="1357"/>
      <c r="HM8" s="1357"/>
      <c r="HN8" s="1357"/>
      <c r="HO8" s="1357"/>
      <c r="HP8" s="1357"/>
      <c r="HQ8" s="1357"/>
      <c r="HR8" s="1357"/>
      <c r="HS8" s="1357"/>
      <c r="HT8" s="1357"/>
      <c r="HU8" s="1357"/>
      <c r="HV8" s="1357"/>
      <c r="HW8" s="1357"/>
      <c r="HX8" s="1357"/>
      <c r="HY8" s="1357"/>
      <c r="HZ8" s="1357"/>
      <c r="IA8" s="1357"/>
      <c r="IB8" s="1357"/>
      <c r="IC8" s="1357"/>
      <c r="ID8" s="1357"/>
      <c r="IE8" s="1357"/>
      <c r="IF8" s="1357"/>
      <c r="IG8" s="1357"/>
      <c r="IH8" s="1357"/>
      <c r="II8" s="1357"/>
      <c r="IJ8" s="1357"/>
      <c r="IK8" s="1357"/>
      <c r="IL8" s="1357"/>
      <c r="IM8" s="1357"/>
      <c r="IN8" s="1357"/>
      <c r="IO8" s="1357"/>
      <c r="IP8" s="1357"/>
      <c r="IQ8" s="1357"/>
      <c r="IR8" s="1357"/>
      <c r="IS8" s="1357"/>
      <c r="IT8" s="1357"/>
      <c r="IU8" s="1357"/>
      <c r="IV8" s="1357"/>
    </row>
    <row r="9" spans="1:256">
      <c r="B9" s="1359"/>
      <c r="C9" s="1359"/>
      <c r="D9" s="1359"/>
      <c r="E9" s="1359"/>
      <c r="F9" s="1359"/>
      <c r="G9" s="1359"/>
      <c r="H9" s="1359"/>
      <c r="I9" s="1359"/>
      <c r="J9" s="1357"/>
      <c r="K9" s="1357"/>
      <c r="L9" s="1357"/>
      <c r="M9" s="1357"/>
      <c r="N9" s="1357"/>
      <c r="O9" s="1357"/>
      <c r="P9" s="1357"/>
      <c r="Q9" s="1357"/>
      <c r="R9" s="1357"/>
      <c r="S9" s="1357"/>
      <c r="T9" s="1357"/>
      <c r="U9" s="1357"/>
      <c r="V9" s="1357"/>
      <c r="W9" s="1357"/>
      <c r="X9" s="1357"/>
      <c r="Y9" s="1357"/>
      <c r="Z9" s="1357"/>
      <c r="AA9" s="1357"/>
      <c r="AB9" s="1357"/>
      <c r="AC9" s="1357"/>
      <c r="AD9" s="1357"/>
      <c r="AE9" s="1357"/>
      <c r="AF9" s="1357"/>
      <c r="AG9" s="1357"/>
      <c r="AH9" s="1357"/>
      <c r="AI9" s="1357"/>
      <c r="AJ9" s="1357"/>
      <c r="AK9" s="1357"/>
      <c r="AL9" s="1357"/>
      <c r="AM9" s="1357"/>
      <c r="AN9" s="1357"/>
      <c r="AO9" s="1357"/>
      <c r="AP9" s="1357"/>
      <c r="AQ9" s="1357"/>
      <c r="AR9" s="1357"/>
      <c r="AS9" s="1357"/>
      <c r="AT9" s="1357"/>
      <c r="AU9" s="1357"/>
      <c r="AV9" s="1357"/>
      <c r="AW9" s="1357"/>
      <c r="AX9" s="1357"/>
      <c r="AY9" s="1357"/>
      <c r="AZ9" s="1357"/>
      <c r="BA9" s="1357"/>
      <c r="BB9" s="1357"/>
      <c r="BC9" s="1357"/>
      <c r="BD9" s="1357"/>
      <c r="BE9" s="1357"/>
      <c r="BF9" s="1357"/>
      <c r="BG9" s="1357"/>
      <c r="BH9" s="1357"/>
      <c r="BI9" s="1357"/>
      <c r="BJ9" s="1357"/>
      <c r="BK9" s="1357"/>
      <c r="BL9" s="1357"/>
      <c r="BM9" s="1357"/>
      <c r="BN9" s="1357"/>
      <c r="BO9" s="1357"/>
      <c r="BP9" s="1357"/>
      <c r="BQ9" s="1357"/>
      <c r="BR9" s="1357"/>
      <c r="BS9" s="1357"/>
      <c r="BT9" s="1357"/>
      <c r="BU9" s="1357"/>
      <c r="BV9" s="1357"/>
      <c r="BW9" s="1357"/>
      <c r="BX9" s="1357"/>
      <c r="BY9" s="1357"/>
      <c r="BZ9" s="1357"/>
      <c r="CA9" s="1357"/>
      <c r="CB9" s="1357"/>
      <c r="CC9" s="1357"/>
      <c r="CD9" s="1357"/>
      <c r="CE9" s="1357"/>
      <c r="CF9" s="1357"/>
      <c r="CG9" s="1357"/>
      <c r="CH9" s="1357"/>
      <c r="CI9" s="1357"/>
      <c r="CJ9" s="1357"/>
      <c r="CK9" s="1357"/>
      <c r="CL9" s="1357"/>
      <c r="CM9" s="1357"/>
      <c r="CN9" s="1357"/>
      <c r="CO9" s="1357"/>
      <c r="CP9" s="1357"/>
      <c r="CQ9" s="1357"/>
      <c r="CR9" s="1357"/>
      <c r="CS9" s="1357"/>
      <c r="CT9" s="1357"/>
      <c r="CU9" s="1357"/>
      <c r="CV9" s="1357"/>
      <c r="CW9" s="1357"/>
      <c r="CX9" s="1357"/>
      <c r="CY9" s="1357"/>
      <c r="CZ9" s="1357"/>
      <c r="DA9" s="1357"/>
      <c r="DB9" s="1357"/>
      <c r="DC9" s="1357"/>
      <c r="DD9" s="1357"/>
      <c r="DE9" s="1357"/>
      <c r="DF9" s="1357"/>
      <c r="DG9" s="1357"/>
      <c r="DH9" s="1357"/>
      <c r="DI9" s="1357"/>
      <c r="DJ9" s="1357"/>
      <c r="DK9" s="1357"/>
      <c r="DL9" s="1357"/>
      <c r="DM9" s="1357"/>
      <c r="DN9" s="1357"/>
      <c r="DO9" s="1357"/>
      <c r="DP9" s="1357"/>
      <c r="DQ9" s="1357"/>
      <c r="DR9" s="1357"/>
      <c r="DS9" s="1357"/>
      <c r="DT9" s="1357"/>
      <c r="DU9" s="1357"/>
      <c r="DV9" s="1357"/>
      <c r="DW9" s="1357"/>
      <c r="DX9" s="1357"/>
      <c r="DY9" s="1357"/>
      <c r="DZ9" s="1357"/>
      <c r="EA9" s="1357"/>
      <c r="EB9" s="1357"/>
      <c r="EC9" s="1357"/>
      <c r="ED9" s="1357"/>
      <c r="EE9" s="1357"/>
      <c r="EF9" s="1357"/>
      <c r="EG9" s="1357"/>
      <c r="EH9" s="1357"/>
      <c r="EI9" s="1357"/>
      <c r="EJ9" s="1357"/>
      <c r="EK9" s="1357"/>
      <c r="EL9" s="1357"/>
      <c r="EM9" s="1357"/>
      <c r="EN9" s="1357"/>
      <c r="EO9" s="1357"/>
      <c r="EP9" s="1357"/>
      <c r="EQ9" s="1357"/>
      <c r="ER9" s="1357"/>
      <c r="ES9" s="1357"/>
      <c r="ET9" s="1357"/>
      <c r="EU9" s="1357"/>
      <c r="EV9" s="1357"/>
      <c r="EW9" s="1357"/>
      <c r="EX9" s="1357"/>
      <c r="EY9" s="1357"/>
      <c r="EZ9" s="1357"/>
      <c r="FA9" s="1357"/>
      <c r="FB9" s="1357"/>
      <c r="FC9" s="1357"/>
      <c r="FD9" s="1357"/>
      <c r="FE9" s="1357"/>
      <c r="FF9" s="1357"/>
      <c r="FG9" s="1357"/>
      <c r="FH9" s="1357"/>
      <c r="FI9" s="1357"/>
      <c r="FJ9" s="1357"/>
      <c r="FK9" s="1357"/>
      <c r="FL9" s="1357"/>
      <c r="FM9" s="1357"/>
      <c r="FN9" s="1357"/>
      <c r="FO9" s="1357"/>
      <c r="FP9" s="1357"/>
      <c r="FQ9" s="1357"/>
      <c r="FR9" s="1357"/>
      <c r="FS9" s="1357"/>
      <c r="FT9" s="1357"/>
      <c r="FU9" s="1357"/>
      <c r="FV9" s="1357"/>
      <c r="FW9" s="1357"/>
      <c r="FX9" s="1357"/>
      <c r="FY9" s="1357"/>
      <c r="FZ9" s="1357"/>
      <c r="GA9" s="1357"/>
      <c r="GB9" s="1357"/>
      <c r="GC9" s="1357"/>
      <c r="GD9" s="1357"/>
      <c r="GE9" s="1357"/>
      <c r="GF9" s="1357"/>
      <c r="GG9" s="1357"/>
      <c r="GH9" s="1357"/>
      <c r="GI9" s="1357"/>
      <c r="GJ9" s="1357"/>
      <c r="GK9" s="1357"/>
      <c r="GL9" s="1357"/>
      <c r="GM9" s="1357"/>
      <c r="GN9" s="1357"/>
      <c r="GO9" s="1357"/>
      <c r="GP9" s="1357"/>
      <c r="GQ9" s="1357"/>
      <c r="GR9" s="1357"/>
      <c r="GS9" s="1357"/>
      <c r="GT9" s="1357"/>
      <c r="GU9" s="1357"/>
      <c r="GV9" s="1357"/>
      <c r="GW9" s="1357"/>
      <c r="GX9" s="1357"/>
      <c r="GY9" s="1357"/>
      <c r="GZ9" s="1357"/>
      <c r="HA9" s="1357"/>
      <c r="HB9" s="1357"/>
      <c r="HC9" s="1357"/>
      <c r="HD9" s="1357"/>
      <c r="HE9" s="1357"/>
      <c r="HF9" s="1357"/>
      <c r="HG9" s="1357"/>
      <c r="HH9" s="1357"/>
      <c r="HI9" s="1357"/>
      <c r="HJ9" s="1357"/>
      <c r="HK9" s="1357"/>
      <c r="HL9" s="1357"/>
      <c r="HM9" s="1357"/>
      <c r="HN9" s="1357"/>
      <c r="HO9" s="1357"/>
      <c r="HP9" s="1357"/>
      <c r="HQ9" s="1357"/>
      <c r="HR9" s="1357"/>
      <c r="HS9" s="1357"/>
      <c r="HT9" s="1357"/>
      <c r="HU9" s="1357"/>
      <c r="HV9" s="1357"/>
      <c r="HW9" s="1357"/>
      <c r="HX9" s="1357"/>
      <c r="HY9" s="1357"/>
      <c r="HZ9" s="1357"/>
      <c r="IA9" s="1357"/>
      <c r="IB9" s="1357"/>
      <c r="IC9" s="1357"/>
      <c r="ID9" s="1357"/>
      <c r="IE9" s="1357"/>
      <c r="IF9" s="1357"/>
      <c r="IG9" s="1357"/>
      <c r="IH9" s="1357"/>
      <c r="II9" s="1357"/>
      <c r="IJ9" s="1357"/>
      <c r="IK9" s="1357"/>
      <c r="IL9" s="1357"/>
      <c r="IM9" s="1357"/>
      <c r="IN9" s="1357"/>
      <c r="IO9" s="1357"/>
      <c r="IP9" s="1357"/>
      <c r="IQ9" s="1357"/>
      <c r="IR9" s="1357"/>
      <c r="IS9" s="1357"/>
      <c r="IT9" s="1357"/>
      <c r="IU9" s="1357"/>
      <c r="IV9" s="1357"/>
    </row>
    <row r="10" spans="1:256">
      <c r="A10" s="1360" t="s">
        <v>639</v>
      </c>
      <c r="B10" s="1359"/>
      <c r="C10" s="1357"/>
      <c r="D10" s="1359"/>
      <c r="E10" s="2408" t="s">
        <v>345</v>
      </c>
      <c r="F10" s="2408"/>
      <c r="G10" s="1359"/>
      <c r="H10" s="1359"/>
      <c r="I10" s="1359"/>
      <c r="J10" s="1357"/>
      <c r="K10" s="1357"/>
      <c r="L10" s="1357"/>
      <c r="M10" s="1357"/>
      <c r="N10" s="1357"/>
      <c r="O10" s="1357"/>
      <c r="P10" s="1357"/>
      <c r="Q10" s="1357"/>
      <c r="R10" s="1357"/>
      <c r="S10" s="1357"/>
      <c r="T10" s="1357"/>
      <c r="U10" s="1357"/>
      <c r="V10" s="1357"/>
      <c r="W10" s="1357"/>
      <c r="X10" s="1357"/>
      <c r="Y10" s="1357"/>
      <c r="Z10" s="1357"/>
      <c r="AA10" s="1357"/>
      <c r="AB10" s="1357"/>
      <c r="AC10" s="1357"/>
      <c r="AD10" s="1357"/>
      <c r="AE10" s="1357"/>
      <c r="AF10" s="1357"/>
      <c r="AG10" s="1357"/>
      <c r="AH10" s="1357"/>
      <c r="AI10" s="1357"/>
      <c r="AJ10" s="1357"/>
      <c r="AK10" s="1357"/>
      <c r="AL10" s="1357"/>
      <c r="AM10" s="1357"/>
      <c r="AN10" s="1357"/>
      <c r="AO10" s="1357"/>
      <c r="AP10" s="1357"/>
      <c r="AQ10" s="1357"/>
      <c r="AR10" s="1357"/>
      <c r="AS10" s="1357"/>
      <c r="AT10" s="1357"/>
      <c r="AU10" s="1357"/>
      <c r="AV10" s="1357"/>
      <c r="AW10" s="1357"/>
      <c r="AX10" s="1357"/>
      <c r="AY10" s="1357"/>
      <c r="AZ10" s="1357"/>
      <c r="BA10" s="1357"/>
      <c r="BB10" s="1357"/>
      <c r="BC10" s="1357"/>
      <c r="BD10" s="1357"/>
      <c r="BE10" s="1357"/>
      <c r="BF10" s="1357"/>
      <c r="BG10" s="1357"/>
      <c r="BH10" s="1357"/>
      <c r="BI10" s="1357"/>
      <c r="BJ10" s="1357"/>
      <c r="BK10" s="1357"/>
      <c r="BL10" s="1357"/>
      <c r="BM10" s="1357"/>
      <c r="BN10" s="1357"/>
      <c r="BO10" s="1357"/>
      <c r="BP10" s="1357"/>
      <c r="BQ10" s="1357"/>
      <c r="BR10" s="1357"/>
      <c r="BS10" s="1357"/>
      <c r="BT10" s="1357"/>
      <c r="BU10" s="1357"/>
      <c r="BV10" s="1357"/>
      <c r="BW10" s="1357"/>
      <c r="BX10" s="1357"/>
      <c r="BY10" s="1357"/>
      <c r="BZ10" s="1357"/>
      <c r="CA10" s="1357"/>
      <c r="CB10" s="1357"/>
      <c r="CC10" s="1357"/>
      <c r="CD10" s="1357"/>
      <c r="CE10" s="1357"/>
      <c r="CF10" s="1357"/>
      <c r="CG10" s="1357"/>
      <c r="CH10" s="1357"/>
      <c r="CI10" s="1357"/>
      <c r="CJ10" s="1357"/>
      <c r="CK10" s="1357"/>
      <c r="CL10" s="1357"/>
      <c r="CM10" s="1357"/>
      <c r="CN10" s="1357"/>
      <c r="CO10" s="1357"/>
      <c r="CP10" s="1357"/>
      <c r="CQ10" s="1357"/>
      <c r="CR10" s="1357"/>
      <c r="CS10" s="1357"/>
      <c r="CT10" s="1357"/>
      <c r="CU10" s="1357"/>
      <c r="CV10" s="1357"/>
      <c r="CW10" s="1357"/>
      <c r="CX10" s="1357"/>
      <c r="CY10" s="1357"/>
      <c r="CZ10" s="1357"/>
      <c r="DA10" s="1357"/>
      <c r="DB10" s="1357"/>
      <c r="DC10" s="1357"/>
      <c r="DD10" s="1357"/>
      <c r="DE10" s="1357"/>
      <c r="DF10" s="1357"/>
      <c r="DG10" s="1357"/>
      <c r="DH10" s="1357"/>
      <c r="DI10" s="1357"/>
      <c r="DJ10" s="1357"/>
      <c r="DK10" s="1357"/>
      <c r="DL10" s="1357"/>
      <c r="DM10" s="1357"/>
      <c r="DN10" s="1357"/>
      <c r="DO10" s="1357"/>
      <c r="DP10" s="1357"/>
      <c r="DQ10" s="1357"/>
      <c r="DR10" s="1357"/>
      <c r="DS10" s="1357"/>
      <c r="DT10" s="1357"/>
      <c r="DU10" s="1357"/>
      <c r="DV10" s="1357"/>
      <c r="DW10" s="1357"/>
      <c r="DX10" s="1357"/>
      <c r="DY10" s="1357"/>
      <c r="DZ10" s="1357"/>
      <c r="EA10" s="1357"/>
      <c r="EB10" s="1357"/>
      <c r="EC10" s="1357"/>
      <c r="ED10" s="1357"/>
      <c r="EE10" s="1357"/>
      <c r="EF10" s="1357"/>
      <c r="EG10" s="1357"/>
      <c r="EH10" s="1357"/>
      <c r="EI10" s="1357"/>
      <c r="EJ10" s="1357"/>
      <c r="EK10" s="1357"/>
      <c r="EL10" s="1357"/>
      <c r="EM10" s="1357"/>
      <c r="EN10" s="1357"/>
      <c r="EO10" s="1357"/>
      <c r="EP10" s="1357"/>
      <c r="EQ10" s="1357"/>
      <c r="ER10" s="1357"/>
      <c r="ES10" s="1357"/>
      <c r="ET10" s="1357"/>
      <c r="EU10" s="1357"/>
      <c r="EV10" s="1357"/>
      <c r="EW10" s="1357"/>
      <c r="EX10" s="1357"/>
      <c r="EY10" s="1357"/>
      <c r="EZ10" s="1357"/>
      <c r="FA10" s="1357"/>
      <c r="FB10" s="1357"/>
      <c r="FC10" s="1357"/>
      <c r="FD10" s="1357"/>
      <c r="FE10" s="1357"/>
      <c r="FF10" s="1357"/>
      <c r="FG10" s="1357"/>
      <c r="FH10" s="1357"/>
      <c r="FI10" s="1357"/>
      <c r="FJ10" s="1357"/>
      <c r="FK10" s="1357"/>
      <c r="FL10" s="1357"/>
      <c r="FM10" s="1357"/>
      <c r="FN10" s="1357"/>
      <c r="FO10" s="1357"/>
      <c r="FP10" s="1357"/>
      <c r="FQ10" s="1357"/>
      <c r="FR10" s="1357"/>
      <c r="FS10" s="1357"/>
      <c r="FT10" s="1357"/>
      <c r="FU10" s="1357"/>
      <c r="FV10" s="1357"/>
      <c r="FW10" s="1357"/>
      <c r="FX10" s="1357"/>
      <c r="FY10" s="1357"/>
      <c r="FZ10" s="1357"/>
      <c r="GA10" s="1357"/>
      <c r="GB10" s="1357"/>
      <c r="GC10" s="1357"/>
      <c r="GD10" s="1357"/>
      <c r="GE10" s="1357"/>
      <c r="GF10" s="1357"/>
      <c r="GG10" s="1357"/>
      <c r="GH10" s="1357"/>
      <c r="GI10" s="1357"/>
      <c r="GJ10" s="1357"/>
      <c r="GK10" s="1357"/>
      <c r="GL10" s="1357"/>
      <c r="GM10" s="1357"/>
      <c r="GN10" s="1357"/>
      <c r="GO10" s="1357"/>
      <c r="GP10" s="1357"/>
      <c r="GQ10" s="1357"/>
      <c r="GR10" s="1357"/>
      <c r="GS10" s="1357"/>
      <c r="GT10" s="1357"/>
      <c r="GU10" s="1357"/>
      <c r="GV10" s="1357"/>
      <c r="GW10" s="1357"/>
      <c r="GX10" s="1357"/>
      <c r="GY10" s="1357"/>
      <c r="GZ10" s="1357"/>
      <c r="HA10" s="1357"/>
      <c r="HB10" s="1357"/>
      <c r="HC10" s="1357"/>
      <c r="HD10" s="1357"/>
      <c r="HE10" s="1357"/>
      <c r="HF10" s="1357"/>
      <c r="HG10" s="1357"/>
      <c r="HH10" s="1357"/>
      <c r="HI10" s="1357"/>
      <c r="HJ10" s="1357"/>
      <c r="HK10" s="1357"/>
      <c r="HL10" s="1357"/>
      <c r="HM10" s="1357"/>
      <c r="HN10" s="1357"/>
      <c r="HO10" s="1357"/>
      <c r="HP10" s="1357"/>
      <c r="HQ10" s="1357"/>
      <c r="HR10" s="1357"/>
      <c r="HS10" s="1357"/>
      <c r="HT10" s="1357"/>
      <c r="HU10" s="1357"/>
      <c r="HV10" s="1357"/>
      <c r="HW10" s="1357"/>
      <c r="HX10" s="1357"/>
      <c r="HY10" s="1357"/>
      <c r="HZ10" s="1357"/>
      <c r="IA10" s="1357"/>
      <c r="IB10" s="1357"/>
      <c r="IC10" s="1357"/>
      <c r="ID10" s="1357"/>
      <c r="IE10" s="1357"/>
      <c r="IF10" s="1357"/>
      <c r="IG10" s="1357"/>
      <c r="IH10" s="1357"/>
      <c r="II10" s="1357"/>
      <c r="IJ10" s="1357"/>
      <c r="IK10" s="1357"/>
      <c r="IL10" s="1357"/>
      <c r="IM10" s="1357"/>
      <c r="IN10" s="1357"/>
      <c r="IO10" s="1357"/>
      <c r="IP10" s="1357"/>
      <c r="IQ10" s="1357"/>
      <c r="IR10" s="1357"/>
      <c r="IS10" s="1357"/>
      <c r="IT10" s="1357"/>
      <c r="IU10" s="1357"/>
      <c r="IV10" s="1357"/>
    </row>
    <row r="11" spans="1:256">
      <c r="A11" s="1361">
        <v>1</v>
      </c>
      <c r="B11" s="1362" t="s">
        <v>930</v>
      </c>
      <c r="C11" s="1362"/>
      <c r="D11" s="1362"/>
      <c r="E11" s="1362" t="s">
        <v>524</v>
      </c>
      <c r="F11" s="1359"/>
      <c r="G11" s="1357"/>
      <c r="H11" s="711">
        <f>+'SWEPCO WS C-1 ADIT EOY'!H46*0</f>
        <v>0</v>
      </c>
      <c r="I11" s="1359"/>
      <c r="J11" s="1357"/>
      <c r="K11" s="1357"/>
      <c r="L11" s="1357"/>
      <c r="M11" s="1357"/>
      <c r="N11" s="1357"/>
      <c r="O11" s="1357"/>
      <c r="P11" s="1357"/>
      <c r="Q11" s="1357"/>
      <c r="R11" s="1357"/>
      <c r="S11" s="1357"/>
      <c r="T11" s="1357"/>
      <c r="U11" s="1357"/>
      <c r="V11" s="1357"/>
      <c r="W11" s="1357"/>
      <c r="X11" s="1357"/>
      <c r="Y11" s="1357"/>
      <c r="Z11" s="1357"/>
      <c r="AA11" s="1357"/>
      <c r="AB11" s="1357"/>
      <c r="AC11" s="1357"/>
      <c r="AD11" s="1357"/>
      <c r="AE11" s="1357"/>
      <c r="AF11" s="1357"/>
      <c r="AG11" s="1357"/>
      <c r="AH11" s="1357"/>
      <c r="AI11" s="1357"/>
      <c r="AJ11" s="1357"/>
      <c r="AK11" s="1357"/>
      <c r="AL11" s="1357"/>
      <c r="AM11" s="1357"/>
      <c r="AN11" s="1357"/>
      <c r="AO11" s="1357"/>
      <c r="AP11" s="1357"/>
      <c r="AQ11" s="1357"/>
      <c r="AR11" s="1357"/>
      <c r="AS11" s="1357"/>
      <c r="AT11" s="1357"/>
      <c r="AU11" s="1357"/>
      <c r="AV11" s="1357"/>
      <c r="AW11" s="1357"/>
      <c r="AX11" s="1357"/>
      <c r="AY11" s="1357"/>
      <c r="AZ11" s="1357"/>
      <c r="BA11" s="1357"/>
      <c r="BB11" s="1357"/>
      <c r="BC11" s="1357"/>
      <c r="BD11" s="1357"/>
      <c r="BE11" s="1357"/>
      <c r="BF11" s="1357"/>
      <c r="BG11" s="1357"/>
      <c r="BH11" s="1357"/>
      <c r="BI11" s="1357"/>
      <c r="BJ11" s="1357"/>
      <c r="BK11" s="1357"/>
      <c r="BL11" s="1357"/>
      <c r="BM11" s="1357"/>
      <c r="BN11" s="1357"/>
      <c r="BO11" s="1357"/>
      <c r="BP11" s="1357"/>
      <c r="BQ11" s="1357"/>
      <c r="BR11" s="1357"/>
      <c r="BS11" s="1357"/>
      <c r="BT11" s="1357"/>
      <c r="BU11" s="1357"/>
      <c r="BV11" s="1357"/>
      <c r="BW11" s="1357"/>
      <c r="BX11" s="1357"/>
      <c r="BY11" s="1357"/>
      <c r="BZ11" s="1357"/>
      <c r="CA11" s="1357"/>
      <c r="CB11" s="1357"/>
      <c r="CC11" s="1357"/>
      <c r="CD11" s="1357"/>
      <c r="CE11" s="1357"/>
      <c r="CF11" s="1357"/>
      <c r="CG11" s="1357"/>
      <c r="CH11" s="1357"/>
      <c r="CI11" s="1357"/>
      <c r="CJ11" s="1357"/>
      <c r="CK11" s="1357"/>
      <c r="CL11" s="1357"/>
      <c r="CM11" s="1357"/>
      <c r="CN11" s="1357"/>
      <c r="CO11" s="1357"/>
      <c r="CP11" s="1357"/>
      <c r="CQ11" s="1357"/>
      <c r="CR11" s="1357"/>
      <c r="CS11" s="1357"/>
      <c r="CT11" s="1357"/>
      <c r="CU11" s="1357"/>
      <c r="CV11" s="1357"/>
      <c r="CW11" s="1357"/>
      <c r="CX11" s="1357"/>
      <c r="CY11" s="1357"/>
      <c r="CZ11" s="1357"/>
      <c r="DA11" s="1357"/>
      <c r="DB11" s="1357"/>
      <c r="DC11" s="1357"/>
      <c r="DD11" s="1357"/>
      <c r="DE11" s="1357"/>
      <c r="DF11" s="1357"/>
      <c r="DG11" s="1357"/>
      <c r="DH11" s="1357"/>
      <c r="DI11" s="1357"/>
      <c r="DJ11" s="1357"/>
      <c r="DK11" s="1357"/>
      <c r="DL11" s="1357"/>
      <c r="DM11" s="1357"/>
      <c r="DN11" s="1357"/>
      <c r="DO11" s="1357"/>
      <c r="DP11" s="1357"/>
      <c r="DQ11" s="1357"/>
      <c r="DR11" s="1357"/>
      <c r="DS11" s="1357"/>
      <c r="DT11" s="1357"/>
      <c r="DU11" s="1357"/>
      <c r="DV11" s="1357"/>
      <c r="DW11" s="1357"/>
      <c r="DX11" s="1357"/>
      <c r="DY11" s="1357"/>
      <c r="DZ11" s="1357"/>
      <c r="EA11" s="1357"/>
      <c r="EB11" s="1357"/>
      <c r="EC11" s="1357"/>
      <c r="ED11" s="1357"/>
      <c r="EE11" s="1357"/>
      <c r="EF11" s="1357"/>
      <c r="EG11" s="1357"/>
      <c r="EH11" s="1357"/>
      <c r="EI11" s="1357"/>
      <c r="EJ11" s="1357"/>
      <c r="EK11" s="1357"/>
      <c r="EL11" s="1357"/>
      <c r="EM11" s="1357"/>
      <c r="EN11" s="1357"/>
      <c r="EO11" s="1357"/>
      <c r="EP11" s="1357"/>
      <c r="EQ11" s="1357"/>
      <c r="ER11" s="1357"/>
      <c r="ES11" s="1357"/>
      <c r="ET11" s="1357"/>
      <c r="EU11" s="1357"/>
      <c r="EV11" s="1357"/>
      <c r="EW11" s="1357"/>
      <c r="EX11" s="1357"/>
      <c r="EY11" s="1357"/>
      <c r="EZ11" s="1357"/>
      <c r="FA11" s="1357"/>
      <c r="FB11" s="1357"/>
      <c r="FC11" s="1357"/>
      <c r="FD11" s="1357"/>
      <c r="FE11" s="1357"/>
      <c r="FF11" s="1357"/>
      <c r="FG11" s="1357"/>
      <c r="FH11" s="1357"/>
      <c r="FI11" s="1357"/>
      <c r="FJ11" s="1357"/>
      <c r="FK11" s="1357"/>
      <c r="FL11" s="1357"/>
      <c r="FM11" s="1357"/>
      <c r="FN11" s="1357"/>
      <c r="FO11" s="1357"/>
      <c r="FP11" s="1357"/>
      <c r="FQ11" s="1357"/>
      <c r="FR11" s="1357"/>
      <c r="FS11" s="1357"/>
      <c r="FT11" s="1357"/>
      <c r="FU11" s="1357"/>
      <c r="FV11" s="1357"/>
      <c r="FW11" s="1357"/>
      <c r="FX11" s="1357"/>
      <c r="FY11" s="1357"/>
      <c r="FZ11" s="1357"/>
      <c r="GA11" s="1357"/>
      <c r="GB11" s="1357"/>
      <c r="GC11" s="1357"/>
      <c r="GD11" s="1357"/>
      <c r="GE11" s="1357"/>
      <c r="GF11" s="1357"/>
      <c r="GG11" s="1357"/>
      <c r="GH11" s="1357"/>
      <c r="GI11" s="1357"/>
      <c r="GJ11" s="1357"/>
      <c r="GK11" s="1357"/>
      <c r="GL11" s="1357"/>
      <c r="GM11" s="1357"/>
      <c r="GN11" s="1357"/>
      <c r="GO11" s="1357"/>
      <c r="GP11" s="1357"/>
      <c r="GQ11" s="1357"/>
      <c r="GR11" s="1357"/>
      <c r="GS11" s="1357"/>
      <c r="GT11" s="1357"/>
      <c r="GU11" s="1357"/>
      <c r="GV11" s="1357"/>
      <c r="GW11" s="1357"/>
      <c r="GX11" s="1357"/>
      <c r="GY11" s="1357"/>
      <c r="GZ11" s="1357"/>
      <c r="HA11" s="1357"/>
      <c r="HB11" s="1357"/>
      <c r="HC11" s="1357"/>
      <c r="HD11" s="1357"/>
      <c r="HE11" s="1357"/>
      <c r="HF11" s="1357"/>
      <c r="HG11" s="1357"/>
      <c r="HH11" s="1357"/>
      <c r="HI11" s="1357"/>
      <c r="HJ11" s="1357"/>
      <c r="HK11" s="1357"/>
      <c r="HL11" s="1357"/>
      <c r="HM11" s="1357"/>
      <c r="HN11" s="1357"/>
      <c r="HO11" s="1357"/>
      <c r="HP11" s="1357"/>
      <c r="HQ11" s="1357"/>
      <c r="HR11" s="1357"/>
      <c r="HS11" s="1357"/>
      <c r="HT11" s="1357"/>
      <c r="HU11" s="1357"/>
      <c r="HV11" s="1357"/>
      <c r="HW11" s="1357"/>
      <c r="HX11" s="1357"/>
      <c r="HY11" s="1357"/>
      <c r="HZ11" s="1357"/>
      <c r="IA11" s="1357"/>
      <c r="IB11" s="1357"/>
      <c r="IC11" s="1357"/>
      <c r="ID11" s="1357"/>
      <c r="IE11" s="1357"/>
      <c r="IF11" s="1357"/>
      <c r="IG11" s="1357"/>
      <c r="IH11" s="1357"/>
      <c r="II11" s="1357"/>
      <c r="IJ11" s="1357"/>
      <c r="IK11" s="1357"/>
      <c r="IL11" s="1357"/>
      <c r="IM11" s="1357"/>
      <c r="IN11" s="1357"/>
      <c r="IO11" s="1357"/>
      <c r="IP11" s="1357"/>
      <c r="IQ11" s="1357"/>
      <c r="IR11" s="1357"/>
      <c r="IS11" s="1357"/>
      <c r="IT11" s="1357"/>
      <c r="IU11" s="1357"/>
      <c r="IV11" s="1357"/>
    </row>
    <row r="12" spans="1:256">
      <c r="A12" s="1361">
        <f>+A11+1</f>
        <v>2</v>
      </c>
      <c r="B12" s="1362" t="s">
        <v>931</v>
      </c>
      <c r="C12" s="1362"/>
      <c r="D12" s="1362"/>
      <c r="E12" s="1362" t="s">
        <v>525</v>
      </c>
      <c r="F12" s="1359"/>
      <c r="G12" s="1357"/>
      <c r="H12" s="711">
        <f>+'SWEPCO WS C-2 ADIT BOY'!H46*0</f>
        <v>0</v>
      </c>
      <c r="I12" s="1359"/>
      <c r="J12" s="1357"/>
      <c r="K12" s="1357"/>
      <c r="L12" s="1357"/>
      <c r="M12" s="1357"/>
      <c r="N12" s="1357"/>
      <c r="O12" s="1357"/>
      <c r="P12" s="1357"/>
      <c r="Q12" s="1357"/>
      <c r="R12" s="1357"/>
      <c r="S12" s="1357"/>
      <c r="T12" s="1357"/>
      <c r="U12" s="1357"/>
      <c r="V12" s="1357"/>
      <c r="W12" s="1357"/>
      <c r="X12" s="1357"/>
      <c r="Y12" s="1357"/>
      <c r="Z12" s="1357"/>
      <c r="AA12" s="1357"/>
      <c r="AB12" s="1357"/>
      <c r="AC12" s="1357"/>
      <c r="AD12" s="1357"/>
      <c r="AE12" s="1357"/>
      <c r="AF12" s="1357"/>
      <c r="AG12" s="1357"/>
      <c r="AH12" s="1357"/>
      <c r="AI12" s="1357"/>
      <c r="AJ12" s="1357"/>
      <c r="AK12" s="1357"/>
      <c r="AL12" s="1357"/>
      <c r="AM12" s="1357"/>
      <c r="AN12" s="1357"/>
      <c r="AO12" s="1357"/>
      <c r="AP12" s="1357"/>
      <c r="AQ12" s="1357"/>
      <c r="AR12" s="1357"/>
      <c r="AS12" s="1357"/>
      <c r="AT12" s="1357"/>
      <c r="AU12" s="1357"/>
      <c r="AV12" s="1357"/>
      <c r="AW12" s="1357"/>
      <c r="AX12" s="1357"/>
      <c r="AY12" s="1357"/>
      <c r="AZ12" s="1357"/>
      <c r="BA12" s="1357"/>
      <c r="BB12" s="1357"/>
      <c r="BC12" s="1357"/>
      <c r="BD12" s="1357"/>
      <c r="BE12" s="1357"/>
      <c r="BF12" s="1357"/>
      <c r="BG12" s="1357"/>
      <c r="BH12" s="1357"/>
      <c r="BI12" s="1357"/>
      <c r="BJ12" s="1357"/>
      <c r="BK12" s="1357"/>
      <c r="BL12" s="1357"/>
      <c r="BM12" s="1357"/>
      <c r="BN12" s="1357"/>
      <c r="BO12" s="1357"/>
      <c r="BP12" s="1357"/>
      <c r="BQ12" s="1357"/>
      <c r="BR12" s="1357"/>
      <c r="BS12" s="1357"/>
      <c r="BT12" s="1357"/>
      <c r="BU12" s="1357"/>
      <c r="BV12" s="1357"/>
      <c r="BW12" s="1357"/>
      <c r="BX12" s="1357"/>
      <c r="BY12" s="1357"/>
      <c r="BZ12" s="1357"/>
      <c r="CA12" s="1357"/>
      <c r="CB12" s="1357"/>
      <c r="CC12" s="1357"/>
      <c r="CD12" s="1357"/>
      <c r="CE12" s="1357"/>
      <c r="CF12" s="1357"/>
      <c r="CG12" s="1357"/>
      <c r="CH12" s="1357"/>
      <c r="CI12" s="1357"/>
      <c r="CJ12" s="1357"/>
      <c r="CK12" s="1357"/>
      <c r="CL12" s="1357"/>
      <c r="CM12" s="1357"/>
      <c r="CN12" s="1357"/>
      <c r="CO12" s="1357"/>
      <c r="CP12" s="1357"/>
      <c r="CQ12" s="1357"/>
      <c r="CR12" s="1357"/>
      <c r="CS12" s="1357"/>
      <c r="CT12" s="1357"/>
      <c r="CU12" s="1357"/>
      <c r="CV12" s="1357"/>
      <c r="CW12" s="1357"/>
      <c r="CX12" s="1357"/>
      <c r="CY12" s="1357"/>
      <c r="CZ12" s="1357"/>
      <c r="DA12" s="1357"/>
      <c r="DB12" s="1357"/>
      <c r="DC12" s="1357"/>
      <c r="DD12" s="1357"/>
      <c r="DE12" s="1357"/>
      <c r="DF12" s="1357"/>
      <c r="DG12" s="1357"/>
      <c r="DH12" s="1357"/>
      <c r="DI12" s="1357"/>
      <c r="DJ12" s="1357"/>
      <c r="DK12" s="1357"/>
      <c r="DL12" s="1357"/>
      <c r="DM12" s="1357"/>
      <c r="DN12" s="1357"/>
      <c r="DO12" s="1357"/>
      <c r="DP12" s="1357"/>
      <c r="DQ12" s="1357"/>
      <c r="DR12" s="1357"/>
      <c r="DS12" s="1357"/>
      <c r="DT12" s="1357"/>
      <c r="DU12" s="1357"/>
      <c r="DV12" s="1357"/>
      <c r="DW12" s="1357"/>
      <c r="DX12" s="1357"/>
      <c r="DY12" s="1357"/>
      <c r="DZ12" s="1357"/>
      <c r="EA12" s="1357"/>
      <c r="EB12" s="1357"/>
      <c r="EC12" s="1357"/>
      <c r="ED12" s="1357"/>
      <c r="EE12" s="1357"/>
      <c r="EF12" s="1357"/>
      <c r="EG12" s="1357"/>
      <c r="EH12" s="1357"/>
      <c r="EI12" s="1357"/>
      <c r="EJ12" s="1357"/>
      <c r="EK12" s="1357"/>
      <c r="EL12" s="1357"/>
      <c r="EM12" s="1357"/>
      <c r="EN12" s="1357"/>
      <c r="EO12" s="1357"/>
      <c r="EP12" s="1357"/>
      <c r="EQ12" s="1357"/>
      <c r="ER12" s="1357"/>
      <c r="ES12" s="1357"/>
      <c r="ET12" s="1357"/>
      <c r="EU12" s="1357"/>
      <c r="EV12" s="1357"/>
      <c r="EW12" s="1357"/>
      <c r="EX12" s="1357"/>
      <c r="EY12" s="1357"/>
      <c r="EZ12" s="1357"/>
      <c r="FA12" s="1357"/>
      <c r="FB12" s="1357"/>
      <c r="FC12" s="1357"/>
      <c r="FD12" s="1357"/>
      <c r="FE12" s="1357"/>
      <c r="FF12" s="1357"/>
      <c r="FG12" s="1357"/>
      <c r="FH12" s="1357"/>
      <c r="FI12" s="1357"/>
      <c r="FJ12" s="1357"/>
      <c r="FK12" s="1357"/>
      <c r="FL12" s="1357"/>
      <c r="FM12" s="1357"/>
      <c r="FN12" s="1357"/>
      <c r="FO12" s="1357"/>
      <c r="FP12" s="1357"/>
      <c r="FQ12" s="1357"/>
      <c r="FR12" s="1357"/>
      <c r="FS12" s="1357"/>
      <c r="FT12" s="1357"/>
      <c r="FU12" s="1357"/>
      <c r="FV12" s="1357"/>
      <c r="FW12" s="1357"/>
      <c r="FX12" s="1357"/>
      <c r="FY12" s="1357"/>
      <c r="FZ12" s="1357"/>
      <c r="GA12" s="1357"/>
      <c r="GB12" s="1357"/>
      <c r="GC12" s="1357"/>
      <c r="GD12" s="1357"/>
      <c r="GE12" s="1357"/>
      <c r="GF12" s="1357"/>
      <c r="GG12" s="1357"/>
      <c r="GH12" s="1357"/>
      <c r="GI12" s="1357"/>
      <c r="GJ12" s="1357"/>
      <c r="GK12" s="1357"/>
      <c r="GL12" s="1357"/>
      <c r="GM12" s="1357"/>
      <c r="GN12" s="1357"/>
      <c r="GO12" s="1357"/>
      <c r="GP12" s="1357"/>
      <c r="GQ12" s="1357"/>
      <c r="GR12" s="1357"/>
      <c r="GS12" s="1357"/>
      <c r="GT12" s="1357"/>
      <c r="GU12" s="1357"/>
      <c r="GV12" s="1357"/>
      <c r="GW12" s="1357"/>
      <c r="GX12" s="1357"/>
      <c r="GY12" s="1357"/>
      <c r="GZ12" s="1357"/>
      <c r="HA12" s="1357"/>
      <c r="HB12" s="1357"/>
      <c r="HC12" s="1357"/>
      <c r="HD12" s="1357"/>
      <c r="HE12" s="1357"/>
      <c r="HF12" s="1357"/>
      <c r="HG12" s="1357"/>
      <c r="HH12" s="1357"/>
      <c r="HI12" s="1357"/>
      <c r="HJ12" s="1357"/>
      <c r="HK12" s="1357"/>
      <c r="HL12" s="1357"/>
      <c r="HM12" s="1357"/>
      <c r="HN12" s="1357"/>
      <c r="HO12" s="1357"/>
      <c r="HP12" s="1357"/>
      <c r="HQ12" s="1357"/>
      <c r="HR12" s="1357"/>
      <c r="HS12" s="1357"/>
      <c r="HT12" s="1357"/>
      <c r="HU12" s="1357"/>
      <c r="HV12" s="1357"/>
      <c r="HW12" s="1357"/>
      <c r="HX12" s="1357"/>
      <c r="HY12" s="1357"/>
      <c r="HZ12" s="1357"/>
      <c r="IA12" s="1357"/>
      <c r="IB12" s="1357"/>
      <c r="IC12" s="1357"/>
      <c r="ID12" s="1357"/>
      <c r="IE12" s="1357"/>
      <c r="IF12" s="1357"/>
      <c r="IG12" s="1357"/>
      <c r="IH12" s="1357"/>
      <c r="II12" s="1357"/>
      <c r="IJ12" s="1357"/>
      <c r="IK12" s="1357"/>
      <c r="IL12" s="1357"/>
      <c r="IM12" s="1357"/>
      <c r="IN12" s="1357"/>
      <c r="IO12" s="1357"/>
      <c r="IP12" s="1357"/>
      <c r="IQ12" s="1357"/>
      <c r="IR12" s="1357"/>
      <c r="IS12" s="1357"/>
      <c r="IT12" s="1357"/>
      <c r="IU12" s="1357"/>
      <c r="IV12" s="1357"/>
    </row>
    <row r="13" spans="1:256">
      <c r="A13" s="1361">
        <f>+A12+1</f>
        <v>3</v>
      </c>
      <c r="B13" s="1362" t="s">
        <v>508</v>
      </c>
      <c r="C13" s="1362"/>
      <c r="D13" s="1362"/>
      <c r="E13" s="1362" t="str">
        <f>"Line "&amp;A11&amp;" less Line "&amp;A12</f>
        <v>Line 1 less Line 2</v>
      </c>
      <c r="F13" s="1359"/>
      <c r="G13" s="1357"/>
      <c r="H13" s="1363">
        <f>+H11-H12</f>
        <v>0</v>
      </c>
      <c r="I13" s="1359"/>
      <c r="J13" s="1357"/>
      <c r="K13" s="1357"/>
      <c r="L13" s="1357"/>
      <c r="M13" s="1357"/>
      <c r="N13" s="1357"/>
      <c r="O13" s="1357"/>
      <c r="P13" s="1357"/>
      <c r="Q13" s="1357"/>
      <c r="R13" s="1357"/>
      <c r="S13" s="1357"/>
      <c r="T13" s="1357"/>
      <c r="U13" s="1357"/>
      <c r="V13" s="1357"/>
      <c r="W13" s="1357"/>
      <c r="X13" s="1357"/>
      <c r="Y13" s="1357"/>
      <c r="Z13" s="1357"/>
      <c r="AA13" s="1357"/>
      <c r="AB13" s="1357"/>
      <c r="AC13" s="1357"/>
      <c r="AD13" s="1357"/>
      <c r="AE13" s="1357"/>
      <c r="AF13" s="1357"/>
      <c r="AG13" s="1357"/>
      <c r="AH13" s="1357"/>
      <c r="AI13" s="1357"/>
      <c r="AJ13" s="1357"/>
      <c r="AK13" s="1357"/>
      <c r="AL13" s="1357"/>
      <c r="AM13" s="1357"/>
      <c r="AN13" s="1357"/>
      <c r="AO13" s="1357"/>
      <c r="AP13" s="1357"/>
      <c r="AQ13" s="1357"/>
      <c r="AR13" s="1357"/>
      <c r="AS13" s="1357"/>
      <c r="AT13" s="1357"/>
      <c r="AU13" s="1357"/>
      <c r="AV13" s="1357"/>
      <c r="AW13" s="1357"/>
      <c r="AX13" s="1357"/>
      <c r="AY13" s="1357"/>
      <c r="AZ13" s="1357"/>
      <c r="BA13" s="1357"/>
      <c r="BB13" s="1357"/>
      <c r="BC13" s="1357"/>
      <c r="BD13" s="1357"/>
      <c r="BE13" s="1357"/>
      <c r="BF13" s="1357"/>
      <c r="BG13" s="1357"/>
      <c r="BH13" s="1357"/>
      <c r="BI13" s="1357"/>
      <c r="BJ13" s="1357"/>
      <c r="BK13" s="1357"/>
      <c r="BL13" s="1357"/>
      <c r="BM13" s="1357"/>
      <c r="BN13" s="1357"/>
      <c r="BO13" s="1357"/>
      <c r="BP13" s="1357"/>
      <c r="BQ13" s="1357"/>
      <c r="BR13" s="1357"/>
      <c r="BS13" s="1357"/>
      <c r="BT13" s="1357"/>
      <c r="BU13" s="1357"/>
      <c r="BV13" s="1357"/>
      <c r="BW13" s="1357"/>
      <c r="BX13" s="1357"/>
      <c r="BY13" s="1357"/>
      <c r="BZ13" s="1357"/>
      <c r="CA13" s="1357"/>
      <c r="CB13" s="1357"/>
      <c r="CC13" s="1357"/>
      <c r="CD13" s="1357"/>
      <c r="CE13" s="1357"/>
      <c r="CF13" s="1357"/>
      <c r="CG13" s="1357"/>
      <c r="CH13" s="1357"/>
      <c r="CI13" s="1357"/>
      <c r="CJ13" s="1357"/>
      <c r="CK13" s="1357"/>
      <c r="CL13" s="1357"/>
      <c r="CM13" s="1357"/>
      <c r="CN13" s="1357"/>
      <c r="CO13" s="1357"/>
      <c r="CP13" s="1357"/>
      <c r="CQ13" s="1357"/>
      <c r="CR13" s="1357"/>
      <c r="CS13" s="1357"/>
      <c r="CT13" s="1357"/>
      <c r="CU13" s="1357"/>
      <c r="CV13" s="1357"/>
      <c r="CW13" s="1357"/>
      <c r="CX13" s="1357"/>
      <c r="CY13" s="1357"/>
      <c r="CZ13" s="1357"/>
      <c r="DA13" s="1357"/>
      <c r="DB13" s="1357"/>
      <c r="DC13" s="1357"/>
      <c r="DD13" s="1357"/>
      <c r="DE13" s="1357"/>
      <c r="DF13" s="1357"/>
      <c r="DG13" s="1357"/>
      <c r="DH13" s="1357"/>
      <c r="DI13" s="1357"/>
      <c r="DJ13" s="1357"/>
      <c r="DK13" s="1357"/>
      <c r="DL13" s="1357"/>
      <c r="DM13" s="1357"/>
      <c r="DN13" s="1357"/>
      <c r="DO13" s="1357"/>
      <c r="DP13" s="1357"/>
      <c r="DQ13" s="1357"/>
      <c r="DR13" s="1357"/>
      <c r="DS13" s="1357"/>
      <c r="DT13" s="1357"/>
      <c r="DU13" s="1357"/>
      <c r="DV13" s="1357"/>
      <c r="DW13" s="1357"/>
      <c r="DX13" s="1357"/>
      <c r="DY13" s="1357"/>
      <c r="DZ13" s="1357"/>
      <c r="EA13" s="1357"/>
      <c r="EB13" s="1357"/>
      <c r="EC13" s="1357"/>
      <c r="ED13" s="1357"/>
      <c r="EE13" s="1357"/>
      <c r="EF13" s="1357"/>
      <c r="EG13" s="1357"/>
      <c r="EH13" s="1357"/>
      <c r="EI13" s="1357"/>
      <c r="EJ13" s="1357"/>
      <c r="EK13" s="1357"/>
      <c r="EL13" s="1357"/>
      <c r="EM13" s="1357"/>
      <c r="EN13" s="1357"/>
      <c r="EO13" s="1357"/>
      <c r="EP13" s="1357"/>
      <c r="EQ13" s="1357"/>
      <c r="ER13" s="1357"/>
      <c r="ES13" s="1357"/>
      <c r="ET13" s="1357"/>
      <c r="EU13" s="1357"/>
      <c r="EV13" s="1357"/>
      <c r="EW13" s="1357"/>
      <c r="EX13" s="1357"/>
      <c r="EY13" s="1357"/>
      <c r="EZ13" s="1357"/>
      <c r="FA13" s="1357"/>
      <c r="FB13" s="1357"/>
      <c r="FC13" s="1357"/>
      <c r="FD13" s="1357"/>
      <c r="FE13" s="1357"/>
      <c r="FF13" s="1357"/>
      <c r="FG13" s="1357"/>
      <c r="FH13" s="1357"/>
      <c r="FI13" s="1357"/>
      <c r="FJ13" s="1357"/>
      <c r="FK13" s="1357"/>
      <c r="FL13" s="1357"/>
      <c r="FM13" s="1357"/>
      <c r="FN13" s="1357"/>
      <c r="FO13" s="1357"/>
      <c r="FP13" s="1357"/>
      <c r="FQ13" s="1357"/>
      <c r="FR13" s="1357"/>
      <c r="FS13" s="1357"/>
      <c r="FT13" s="1357"/>
      <c r="FU13" s="1357"/>
      <c r="FV13" s="1357"/>
      <c r="FW13" s="1357"/>
      <c r="FX13" s="1357"/>
      <c r="FY13" s="1357"/>
      <c r="FZ13" s="1357"/>
      <c r="GA13" s="1357"/>
      <c r="GB13" s="1357"/>
      <c r="GC13" s="1357"/>
      <c r="GD13" s="1357"/>
      <c r="GE13" s="1357"/>
      <c r="GF13" s="1357"/>
      <c r="GG13" s="1357"/>
      <c r="GH13" s="1357"/>
      <c r="GI13" s="1357"/>
      <c r="GJ13" s="1357"/>
      <c r="GK13" s="1357"/>
      <c r="GL13" s="1357"/>
      <c r="GM13" s="1357"/>
      <c r="GN13" s="1357"/>
      <c r="GO13" s="1357"/>
      <c r="GP13" s="1357"/>
      <c r="GQ13" s="1357"/>
      <c r="GR13" s="1357"/>
      <c r="GS13" s="1357"/>
      <c r="GT13" s="1357"/>
      <c r="GU13" s="1357"/>
      <c r="GV13" s="1357"/>
      <c r="GW13" s="1357"/>
      <c r="GX13" s="1357"/>
      <c r="GY13" s="1357"/>
      <c r="GZ13" s="1357"/>
      <c r="HA13" s="1357"/>
      <c r="HB13" s="1357"/>
      <c r="HC13" s="1357"/>
      <c r="HD13" s="1357"/>
      <c r="HE13" s="1357"/>
      <c r="HF13" s="1357"/>
      <c r="HG13" s="1357"/>
      <c r="HH13" s="1357"/>
      <c r="HI13" s="1357"/>
      <c r="HJ13" s="1357"/>
      <c r="HK13" s="1357"/>
      <c r="HL13" s="1357"/>
      <c r="HM13" s="1357"/>
      <c r="HN13" s="1357"/>
      <c r="HO13" s="1357"/>
      <c r="HP13" s="1357"/>
      <c r="HQ13" s="1357"/>
      <c r="HR13" s="1357"/>
      <c r="HS13" s="1357"/>
      <c r="HT13" s="1357"/>
      <c r="HU13" s="1357"/>
      <c r="HV13" s="1357"/>
      <c r="HW13" s="1357"/>
      <c r="HX13" s="1357"/>
      <c r="HY13" s="1357"/>
      <c r="HZ13" s="1357"/>
      <c r="IA13" s="1357"/>
      <c r="IB13" s="1357"/>
      <c r="IC13" s="1357"/>
      <c r="ID13" s="1357"/>
      <c r="IE13" s="1357"/>
      <c r="IF13" s="1357"/>
      <c r="IG13" s="1357"/>
      <c r="IH13" s="1357"/>
      <c r="II13" s="1357"/>
      <c r="IJ13" s="1357"/>
      <c r="IK13" s="1357"/>
      <c r="IL13" s="1357"/>
      <c r="IM13" s="1357"/>
      <c r="IN13" s="1357"/>
      <c r="IO13" s="1357"/>
      <c r="IP13" s="1357"/>
      <c r="IQ13" s="1357"/>
      <c r="IR13" s="1357"/>
      <c r="IS13" s="1357"/>
      <c r="IT13" s="1357"/>
      <c r="IU13" s="1357"/>
      <c r="IV13" s="1357"/>
    </row>
    <row r="14" spans="1:256">
      <c r="A14" s="1361">
        <f>+A13+1</f>
        <v>4</v>
      </c>
      <c r="B14" s="1362" t="s">
        <v>509</v>
      </c>
      <c r="C14" s="1362"/>
      <c r="D14" s="1362"/>
      <c r="E14" s="1362" t="str">
        <f>"Line "&amp;A13&amp;" / 12"</f>
        <v>Line 3 / 12</v>
      </c>
      <c r="F14" s="1359"/>
      <c r="G14" s="1357"/>
      <c r="H14" s="1364">
        <f>+H13/12</f>
        <v>0</v>
      </c>
      <c r="I14" s="1359"/>
      <c r="J14" s="1357"/>
      <c r="K14" s="1357"/>
      <c r="L14" s="1357"/>
      <c r="M14" s="1357"/>
      <c r="N14" s="1357"/>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7"/>
      <c r="AJ14" s="1357"/>
      <c r="AK14" s="1357"/>
      <c r="AL14" s="1357"/>
      <c r="AM14" s="1357"/>
      <c r="AN14" s="1357"/>
      <c r="AO14" s="1357"/>
      <c r="AP14" s="1357"/>
      <c r="AQ14" s="1357"/>
      <c r="AR14" s="1357"/>
      <c r="AS14" s="1357"/>
      <c r="AT14" s="1357"/>
      <c r="AU14" s="1357"/>
      <c r="AV14" s="1357"/>
      <c r="AW14" s="1357"/>
      <c r="AX14" s="1357"/>
      <c r="AY14" s="1357"/>
      <c r="AZ14" s="1357"/>
      <c r="BA14" s="1357"/>
      <c r="BB14" s="1357"/>
      <c r="BC14" s="1357"/>
      <c r="BD14" s="1357"/>
      <c r="BE14" s="1357"/>
      <c r="BF14" s="1357"/>
      <c r="BG14" s="1357"/>
      <c r="BH14" s="1357"/>
      <c r="BI14" s="1357"/>
      <c r="BJ14" s="1357"/>
      <c r="BK14" s="1357"/>
      <c r="BL14" s="1357"/>
      <c r="BM14" s="1357"/>
      <c r="BN14" s="1357"/>
      <c r="BO14" s="1357"/>
      <c r="BP14" s="1357"/>
      <c r="BQ14" s="1357"/>
      <c r="BR14" s="1357"/>
      <c r="BS14" s="1357"/>
      <c r="BT14" s="1357"/>
      <c r="BU14" s="1357"/>
      <c r="BV14" s="1357"/>
      <c r="BW14" s="1357"/>
      <c r="BX14" s="1357"/>
      <c r="BY14" s="1357"/>
      <c r="BZ14" s="1357"/>
      <c r="CA14" s="1357"/>
      <c r="CB14" s="1357"/>
      <c r="CC14" s="1357"/>
      <c r="CD14" s="1357"/>
      <c r="CE14" s="1357"/>
      <c r="CF14" s="1357"/>
      <c r="CG14" s="1357"/>
      <c r="CH14" s="1357"/>
      <c r="CI14" s="1357"/>
      <c r="CJ14" s="1357"/>
      <c r="CK14" s="1357"/>
      <c r="CL14" s="1357"/>
      <c r="CM14" s="1357"/>
      <c r="CN14" s="1357"/>
      <c r="CO14" s="1357"/>
      <c r="CP14" s="1357"/>
      <c r="CQ14" s="1357"/>
      <c r="CR14" s="1357"/>
      <c r="CS14" s="1357"/>
      <c r="CT14" s="1357"/>
      <c r="CU14" s="1357"/>
      <c r="CV14" s="1357"/>
      <c r="CW14" s="1357"/>
      <c r="CX14" s="1357"/>
      <c r="CY14" s="1357"/>
      <c r="CZ14" s="1357"/>
      <c r="DA14" s="1357"/>
      <c r="DB14" s="1357"/>
      <c r="DC14" s="1357"/>
      <c r="DD14" s="1357"/>
      <c r="DE14" s="1357"/>
      <c r="DF14" s="1357"/>
      <c r="DG14" s="1357"/>
      <c r="DH14" s="1357"/>
      <c r="DI14" s="1357"/>
      <c r="DJ14" s="1357"/>
      <c r="DK14" s="1357"/>
      <c r="DL14" s="1357"/>
      <c r="DM14" s="1357"/>
      <c r="DN14" s="1357"/>
      <c r="DO14" s="1357"/>
      <c r="DP14" s="1357"/>
      <c r="DQ14" s="1357"/>
      <c r="DR14" s="1357"/>
      <c r="DS14" s="1357"/>
      <c r="DT14" s="1357"/>
      <c r="DU14" s="1357"/>
      <c r="DV14" s="1357"/>
      <c r="DW14" s="1357"/>
      <c r="DX14" s="1357"/>
      <c r="DY14" s="1357"/>
      <c r="DZ14" s="1357"/>
      <c r="EA14" s="1357"/>
      <c r="EB14" s="1357"/>
      <c r="EC14" s="1357"/>
      <c r="ED14" s="1357"/>
      <c r="EE14" s="1357"/>
      <c r="EF14" s="1357"/>
      <c r="EG14" s="1357"/>
      <c r="EH14" s="1357"/>
      <c r="EI14" s="1357"/>
      <c r="EJ14" s="1357"/>
      <c r="EK14" s="1357"/>
      <c r="EL14" s="1357"/>
      <c r="EM14" s="1357"/>
      <c r="EN14" s="1357"/>
      <c r="EO14" s="1357"/>
      <c r="EP14" s="1357"/>
      <c r="EQ14" s="1357"/>
      <c r="ER14" s="1357"/>
      <c r="ES14" s="1357"/>
      <c r="ET14" s="1357"/>
      <c r="EU14" s="1357"/>
      <c r="EV14" s="1357"/>
      <c r="EW14" s="1357"/>
      <c r="EX14" s="1357"/>
      <c r="EY14" s="1357"/>
      <c r="EZ14" s="1357"/>
      <c r="FA14" s="1357"/>
      <c r="FB14" s="1357"/>
      <c r="FC14" s="1357"/>
      <c r="FD14" s="1357"/>
      <c r="FE14" s="1357"/>
      <c r="FF14" s="1357"/>
      <c r="FG14" s="1357"/>
      <c r="FH14" s="1357"/>
      <c r="FI14" s="1357"/>
      <c r="FJ14" s="1357"/>
      <c r="FK14" s="1357"/>
      <c r="FL14" s="1357"/>
      <c r="FM14" s="1357"/>
      <c r="FN14" s="1357"/>
      <c r="FO14" s="1357"/>
      <c r="FP14" s="1357"/>
      <c r="FQ14" s="1357"/>
      <c r="FR14" s="1357"/>
      <c r="FS14" s="1357"/>
      <c r="FT14" s="1357"/>
      <c r="FU14" s="1357"/>
      <c r="FV14" s="1357"/>
      <c r="FW14" s="1357"/>
      <c r="FX14" s="1357"/>
      <c r="FY14" s="1357"/>
      <c r="FZ14" s="1357"/>
      <c r="GA14" s="1357"/>
      <c r="GB14" s="1357"/>
      <c r="GC14" s="1357"/>
      <c r="GD14" s="1357"/>
      <c r="GE14" s="1357"/>
      <c r="GF14" s="1357"/>
      <c r="GG14" s="1357"/>
      <c r="GH14" s="1357"/>
      <c r="GI14" s="1357"/>
      <c r="GJ14" s="1357"/>
      <c r="GK14" s="1357"/>
      <c r="GL14" s="1357"/>
      <c r="GM14" s="1357"/>
      <c r="GN14" s="1357"/>
      <c r="GO14" s="1357"/>
      <c r="GP14" s="1357"/>
      <c r="GQ14" s="1357"/>
      <c r="GR14" s="1357"/>
      <c r="GS14" s="1357"/>
      <c r="GT14" s="1357"/>
      <c r="GU14" s="1357"/>
      <c r="GV14" s="1357"/>
      <c r="GW14" s="1357"/>
      <c r="GX14" s="1357"/>
      <c r="GY14" s="1357"/>
      <c r="GZ14" s="1357"/>
      <c r="HA14" s="1357"/>
      <c r="HB14" s="1357"/>
      <c r="HC14" s="1357"/>
      <c r="HD14" s="1357"/>
      <c r="HE14" s="1357"/>
      <c r="HF14" s="1357"/>
      <c r="HG14" s="1357"/>
      <c r="HH14" s="1357"/>
      <c r="HI14" s="1357"/>
      <c r="HJ14" s="1357"/>
      <c r="HK14" s="1357"/>
      <c r="HL14" s="1357"/>
      <c r="HM14" s="1357"/>
      <c r="HN14" s="1357"/>
      <c r="HO14" s="1357"/>
      <c r="HP14" s="1357"/>
      <c r="HQ14" s="1357"/>
      <c r="HR14" s="1357"/>
      <c r="HS14" s="1357"/>
      <c r="HT14" s="1357"/>
      <c r="HU14" s="1357"/>
      <c r="HV14" s="1357"/>
      <c r="HW14" s="1357"/>
      <c r="HX14" s="1357"/>
      <c r="HY14" s="1357"/>
      <c r="HZ14" s="1357"/>
      <c r="IA14" s="1357"/>
      <c r="IB14" s="1357"/>
      <c r="IC14" s="1357"/>
      <c r="ID14" s="1357"/>
      <c r="IE14" s="1357"/>
      <c r="IF14" s="1357"/>
      <c r="IG14" s="1357"/>
      <c r="IH14" s="1357"/>
      <c r="II14" s="1357"/>
      <c r="IJ14" s="1357"/>
      <c r="IK14" s="1357"/>
      <c r="IL14" s="1357"/>
      <c r="IM14" s="1357"/>
      <c r="IN14" s="1357"/>
      <c r="IO14" s="1357"/>
      <c r="IP14" s="1357"/>
      <c r="IQ14" s="1357"/>
      <c r="IR14" s="1357"/>
      <c r="IS14" s="1357"/>
      <c r="IT14" s="1357"/>
      <c r="IU14" s="1357"/>
      <c r="IV14" s="1357"/>
    </row>
    <row r="15" spans="1:256">
      <c r="A15" s="1362"/>
      <c r="B15" s="1362"/>
      <c r="C15" s="1362"/>
      <c r="D15" s="1362"/>
      <c r="E15" s="1359"/>
      <c r="F15" s="1359"/>
      <c r="G15" s="1359"/>
      <c r="H15" s="1359"/>
      <c r="I15" s="1359"/>
      <c r="J15" s="1357"/>
      <c r="K15" s="1357"/>
      <c r="L15" s="1357"/>
      <c r="M15" s="1357"/>
      <c r="N15" s="1357"/>
      <c r="O15" s="1357"/>
      <c r="P15" s="1357"/>
      <c r="Q15" s="1357"/>
      <c r="R15" s="1357"/>
      <c r="S15" s="1357"/>
      <c r="T15" s="1357"/>
      <c r="U15" s="1357"/>
      <c r="V15" s="1357"/>
      <c r="W15" s="1357"/>
      <c r="X15" s="1357"/>
      <c r="Y15" s="1357"/>
      <c r="Z15" s="1357"/>
      <c r="AA15" s="1357"/>
      <c r="AB15" s="1357"/>
      <c r="AC15" s="1357"/>
      <c r="AD15" s="1357"/>
      <c r="AE15" s="1357"/>
      <c r="AF15" s="1357"/>
      <c r="AG15" s="1357"/>
      <c r="AH15" s="1357"/>
      <c r="AI15" s="1357"/>
      <c r="AJ15" s="1357"/>
      <c r="AK15" s="1357"/>
      <c r="AL15" s="1357"/>
      <c r="AM15" s="1357"/>
      <c r="AN15" s="1357"/>
      <c r="AO15" s="1357"/>
      <c r="AP15" s="1357"/>
      <c r="AQ15" s="1357"/>
      <c r="AR15" s="1357"/>
      <c r="AS15" s="1357"/>
      <c r="AT15" s="1357"/>
      <c r="AU15" s="1357"/>
      <c r="AV15" s="1357"/>
      <c r="AW15" s="1357"/>
      <c r="AX15" s="1357"/>
      <c r="AY15" s="1357"/>
      <c r="AZ15" s="1357"/>
      <c r="BA15" s="1357"/>
      <c r="BB15" s="1357"/>
      <c r="BC15" s="1357"/>
      <c r="BD15" s="1357"/>
      <c r="BE15" s="1357"/>
      <c r="BF15" s="1357"/>
      <c r="BG15" s="1357"/>
      <c r="BH15" s="1357"/>
      <c r="BI15" s="1357"/>
      <c r="BJ15" s="1357"/>
      <c r="BK15" s="1357"/>
      <c r="BL15" s="1357"/>
      <c r="BM15" s="1357"/>
      <c r="BN15" s="1357"/>
      <c r="BO15" s="1357"/>
      <c r="BP15" s="1357"/>
      <c r="BQ15" s="1357"/>
      <c r="BR15" s="1357"/>
      <c r="BS15" s="1357"/>
      <c r="BT15" s="1357"/>
      <c r="BU15" s="1357"/>
      <c r="BV15" s="1357"/>
      <c r="BW15" s="1357"/>
      <c r="BX15" s="1357"/>
      <c r="BY15" s="1357"/>
      <c r="BZ15" s="1357"/>
      <c r="CA15" s="1357"/>
      <c r="CB15" s="1357"/>
      <c r="CC15" s="1357"/>
      <c r="CD15" s="1357"/>
      <c r="CE15" s="1357"/>
      <c r="CF15" s="1357"/>
      <c r="CG15" s="1357"/>
      <c r="CH15" s="1357"/>
      <c r="CI15" s="1357"/>
      <c r="CJ15" s="1357"/>
      <c r="CK15" s="1357"/>
      <c r="CL15" s="1357"/>
      <c r="CM15" s="1357"/>
      <c r="CN15" s="1357"/>
      <c r="CO15" s="1357"/>
      <c r="CP15" s="1357"/>
      <c r="CQ15" s="1357"/>
      <c r="CR15" s="1357"/>
      <c r="CS15" s="1357"/>
      <c r="CT15" s="1357"/>
      <c r="CU15" s="1357"/>
      <c r="CV15" s="1357"/>
      <c r="CW15" s="1357"/>
      <c r="CX15" s="1357"/>
      <c r="CY15" s="1357"/>
      <c r="CZ15" s="1357"/>
      <c r="DA15" s="1357"/>
      <c r="DB15" s="1357"/>
      <c r="DC15" s="1357"/>
      <c r="DD15" s="1357"/>
      <c r="DE15" s="1357"/>
      <c r="DF15" s="1357"/>
      <c r="DG15" s="1357"/>
      <c r="DH15" s="1357"/>
      <c r="DI15" s="1357"/>
      <c r="DJ15" s="1357"/>
      <c r="DK15" s="1357"/>
      <c r="DL15" s="1357"/>
      <c r="DM15" s="1357"/>
      <c r="DN15" s="1357"/>
      <c r="DO15" s="1357"/>
      <c r="DP15" s="1357"/>
      <c r="DQ15" s="1357"/>
      <c r="DR15" s="1357"/>
      <c r="DS15" s="1357"/>
      <c r="DT15" s="1357"/>
      <c r="DU15" s="1357"/>
      <c r="DV15" s="1357"/>
      <c r="DW15" s="1357"/>
      <c r="DX15" s="1357"/>
      <c r="DY15" s="1357"/>
      <c r="DZ15" s="1357"/>
      <c r="EA15" s="1357"/>
      <c r="EB15" s="1357"/>
      <c r="EC15" s="1357"/>
      <c r="ED15" s="1357"/>
      <c r="EE15" s="1357"/>
      <c r="EF15" s="1357"/>
      <c r="EG15" s="1357"/>
      <c r="EH15" s="1357"/>
      <c r="EI15" s="1357"/>
      <c r="EJ15" s="1357"/>
      <c r="EK15" s="1357"/>
      <c r="EL15" s="1357"/>
      <c r="EM15" s="1357"/>
      <c r="EN15" s="1357"/>
      <c r="EO15" s="1357"/>
      <c r="EP15" s="1357"/>
      <c r="EQ15" s="1357"/>
      <c r="ER15" s="1357"/>
      <c r="ES15" s="1357"/>
      <c r="ET15" s="1357"/>
      <c r="EU15" s="1357"/>
      <c r="EV15" s="1357"/>
      <c r="EW15" s="1357"/>
      <c r="EX15" s="1357"/>
      <c r="EY15" s="1357"/>
      <c r="EZ15" s="1357"/>
      <c r="FA15" s="1357"/>
      <c r="FB15" s="1357"/>
      <c r="FC15" s="1357"/>
      <c r="FD15" s="1357"/>
      <c r="FE15" s="1357"/>
      <c r="FF15" s="1357"/>
      <c r="FG15" s="1357"/>
      <c r="FH15" s="1357"/>
      <c r="FI15" s="1357"/>
      <c r="FJ15" s="1357"/>
      <c r="FK15" s="1357"/>
      <c r="FL15" s="1357"/>
      <c r="FM15" s="1357"/>
      <c r="FN15" s="1357"/>
      <c r="FO15" s="1357"/>
      <c r="FP15" s="1357"/>
      <c r="FQ15" s="1357"/>
      <c r="FR15" s="1357"/>
      <c r="FS15" s="1357"/>
      <c r="FT15" s="1357"/>
      <c r="FU15" s="1357"/>
      <c r="FV15" s="1357"/>
      <c r="FW15" s="1357"/>
      <c r="FX15" s="1357"/>
      <c r="FY15" s="1357"/>
      <c r="FZ15" s="1357"/>
      <c r="GA15" s="1357"/>
      <c r="GB15" s="1357"/>
      <c r="GC15" s="1357"/>
      <c r="GD15" s="1357"/>
      <c r="GE15" s="1357"/>
      <c r="GF15" s="1357"/>
      <c r="GG15" s="1357"/>
      <c r="GH15" s="1357"/>
      <c r="GI15" s="1357"/>
      <c r="GJ15" s="1357"/>
      <c r="GK15" s="1357"/>
      <c r="GL15" s="1357"/>
      <c r="GM15" s="1357"/>
      <c r="GN15" s="1357"/>
      <c r="GO15" s="1357"/>
      <c r="GP15" s="1357"/>
      <c r="GQ15" s="1357"/>
      <c r="GR15" s="1357"/>
      <c r="GS15" s="1357"/>
      <c r="GT15" s="1357"/>
      <c r="GU15" s="1357"/>
      <c r="GV15" s="1357"/>
      <c r="GW15" s="1357"/>
      <c r="GX15" s="1357"/>
      <c r="GY15" s="1357"/>
      <c r="GZ15" s="1357"/>
      <c r="HA15" s="1357"/>
      <c r="HB15" s="1357"/>
      <c r="HC15" s="1357"/>
      <c r="HD15" s="1357"/>
      <c r="HE15" s="1357"/>
      <c r="HF15" s="1357"/>
      <c r="HG15" s="1357"/>
      <c r="HH15" s="1357"/>
      <c r="HI15" s="1357"/>
      <c r="HJ15" s="1357"/>
      <c r="HK15" s="1357"/>
      <c r="HL15" s="1357"/>
      <c r="HM15" s="1357"/>
      <c r="HN15" s="1357"/>
      <c r="HO15" s="1357"/>
      <c r="HP15" s="1357"/>
      <c r="HQ15" s="1357"/>
      <c r="HR15" s="1357"/>
      <c r="HS15" s="1357"/>
      <c r="HT15" s="1357"/>
      <c r="HU15" s="1357"/>
      <c r="HV15" s="1357"/>
      <c r="HW15" s="1357"/>
      <c r="HX15" s="1357"/>
      <c r="HY15" s="1357"/>
      <c r="HZ15" s="1357"/>
      <c r="IA15" s="1357"/>
      <c r="IB15" s="1357"/>
      <c r="IC15" s="1357"/>
      <c r="ID15" s="1357"/>
      <c r="IE15" s="1357"/>
      <c r="IF15" s="1357"/>
      <c r="IG15" s="1357"/>
      <c r="IH15" s="1357"/>
      <c r="II15" s="1357"/>
      <c r="IJ15" s="1357"/>
      <c r="IK15" s="1357"/>
      <c r="IL15" s="1357"/>
      <c r="IM15" s="1357"/>
      <c r="IN15" s="1357"/>
      <c r="IO15" s="1357"/>
      <c r="IP15" s="1357"/>
      <c r="IQ15" s="1357"/>
      <c r="IR15" s="1357"/>
      <c r="IS15" s="1357"/>
      <c r="IT15" s="1357"/>
      <c r="IU15" s="1357"/>
      <c r="IV15" s="1357"/>
    </row>
    <row r="16" spans="1:256" ht="15">
      <c r="A16" s="1357"/>
      <c r="B16" s="1365" t="s">
        <v>301</v>
      </c>
      <c r="C16" s="1365" t="s">
        <v>302</v>
      </c>
      <c r="D16" s="1365" t="s">
        <v>47</v>
      </c>
      <c r="E16" s="1365" t="s">
        <v>304</v>
      </c>
      <c r="F16" s="1365" t="s">
        <v>229</v>
      </c>
      <c r="G16" s="1365" t="s">
        <v>230</v>
      </c>
      <c r="H16" s="1365" t="s">
        <v>231</v>
      </c>
      <c r="I16" s="1365" t="s">
        <v>236</v>
      </c>
      <c r="J16" s="1357"/>
      <c r="K16" s="1357"/>
      <c r="L16" s="1357"/>
      <c r="M16" s="1357"/>
      <c r="N16" s="1357"/>
      <c r="O16" s="1357"/>
      <c r="P16" s="1357"/>
      <c r="Q16" s="1357"/>
      <c r="R16" s="1357"/>
      <c r="S16" s="1357"/>
      <c r="T16" s="1357"/>
      <c r="U16" s="1357"/>
      <c r="V16" s="1357"/>
      <c r="W16" s="1357"/>
      <c r="X16" s="1357"/>
      <c r="Y16" s="1357"/>
      <c r="Z16" s="1357"/>
      <c r="AA16" s="1357"/>
      <c r="AB16" s="1357"/>
      <c r="AC16" s="1357"/>
      <c r="AD16" s="1357"/>
      <c r="AE16" s="1357"/>
      <c r="AF16" s="1357"/>
      <c r="AG16" s="1357"/>
      <c r="AH16" s="1357"/>
      <c r="AI16" s="1357"/>
      <c r="AJ16" s="1357"/>
      <c r="AK16" s="1357"/>
      <c r="AL16" s="1357"/>
      <c r="AM16" s="1357"/>
      <c r="AN16" s="1357"/>
      <c r="AO16" s="1357"/>
      <c r="AP16" s="1357"/>
      <c r="AQ16" s="1357"/>
      <c r="AR16" s="1357"/>
      <c r="AS16" s="1357"/>
      <c r="AT16" s="1357"/>
      <c r="AU16" s="1357"/>
      <c r="AV16" s="1357"/>
      <c r="AW16" s="1357"/>
      <c r="AX16" s="1357"/>
      <c r="AY16" s="1357"/>
      <c r="AZ16" s="1357"/>
      <c r="BA16" s="1357"/>
      <c r="BB16" s="1357"/>
      <c r="BC16" s="1357"/>
      <c r="BD16" s="1357"/>
      <c r="BE16" s="1357"/>
      <c r="BF16" s="1357"/>
      <c r="BG16" s="1357"/>
      <c r="BH16" s="1357"/>
      <c r="BI16" s="1357"/>
      <c r="BJ16" s="1357"/>
      <c r="BK16" s="1357"/>
      <c r="BL16" s="1357"/>
      <c r="BM16" s="1357"/>
      <c r="BN16" s="1357"/>
      <c r="BO16" s="1357"/>
      <c r="BP16" s="1357"/>
      <c r="BQ16" s="1357"/>
      <c r="BR16" s="1357"/>
      <c r="BS16" s="1357"/>
      <c r="BT16" s="1357"/>
      <c r="BU16" s="1357"/>
      <c r="BV16" s="1357"/>
      <c r="BW16" s="1357"/>
      <c r="BX16" s="1357"/>
      <c r="BY16" s="1357"/>
      <c r="BZ16" s="1357"/>
      <c r="CA16" s="1357"/>
      <c r="CB16" s="1357"/>
      <c r="CC16" s="1357"/>
      <c r="CD16" s="1357"/>
      <c r="CE16" s="1357"/>
      <c r="CF16" s="1357"/>
      <c r="CG16" s="1357"/>
      <c r="CH16" s="1357"/>
      <c r="CI16" s="1357"/>
      <c r="CJ16" s="1357"/>
      <c r="CK16" s="1357"/>
      <c r="CL16" s="1357"/>
      <c r="CM16" s="1357"/>
      <c r="CN16" s="1357"/>
      <c r="CO16" s="1357"/>
      <c r="CP16" s="1357"/>
      <c r="CQ16" s="1357"/>
      <c r="CR16" s="1357"/>
      <c r="CS16" s="1357"/>
      <c r="CT16" s="1357"/>
      <c r="CU16" s="1357"/>
      <c r="CV16" s="1357"/>
      <c r="CW16" s="1357"/>
      <c r="CX16" s="1357"/>
      <c r="CY16" s="1357"/>
      <c r="CZ16" s="1357"/>
      <c r="DA16" s="1357"/>
      <c r="DB16" s="1357"/>
      <c r="DC16" s="1357"/>
      <c r="DD16" s="1357"/>
      <c r="DE16" s="1357"/>
      <c r="DF16" s="1357"/>
      <c r="DG16" s="1357"/>
      <c r="DH16" s="1357"/>
      <c r="DI16" s="1357"/>
      <c r="DJ16" s="1357"/>
      <c r="DK16" s="1357"/>
      <c r="DL16" s="1357"/>
      <c r="DM16" s="1357"/>
      <c r="DN16" s="1357"/>
      <c r="DO16" s="1357"/>
      <c r="DP16" s="1357"/>
      <c r="DQ16" s="1357"/>
      <c r="DR16" s="1357"/>
      <c r="DS16" s="1357"/>
      <c r="DT16" s="1357"/>
      <c r="DU16" s="1357"/>
      <c r="DV16" s="1357"/>
      <c r="DW16" s="1357"/>
      <c r="DX16" s="1357"/>
      <c r="DY16" s="1357"/>
      <c r="DZ16" s="1357"/>
      <c r="EA16" s="1357"/>
      <c r="EB16" s="1357"/>
      <c r="EC16" s="1357"/>
      <c r="ED16" s="1357"/>
      <c r="EE16" s="1357"/>
      <c r="EF16" s="1357"/>
      <c r="EG16" s="1357"/>
      <c r="EH16" s="1357"/>
      <c r="EI16" s="1357"/>
      <c r="EJ16" s="1357"/>
      <c r="EK16" s="1357"/>
      <c r="EL16" s="1357"/>
      <c r="EM16" s="1357"/>
      <c r="EN16" s="1357"/>
      <c r="EO16" s="1357"/>
      <c r="EP16" s="1357"/>
      <c r="EQ16" s="1357"/>
      <c r="ER16" s="1357"/>
      <c r="ES16" s="1357"/>
      <c r="ET16" s="1357"/>
      <c r="EU16" s="1357"/>
      <c r="EV16" s="1357"/>
      <c r="EW16" s="1357"/>
      <c r="EX16" s="1357"/>
      <c r="EY16" s="1357"/>
      <c r="EZ16" s="1357"/>
      <c r="FA16" s="1357"/>
      <c r="FB16" s="1357"/>
      <c r="FC16" s="1357"/>
      <c r="FD16" s="1357"/>
      <c r="FE16" s="1357"/>
      <c r="FF16" s="1357"/>
      <c r="FG16" s="1357"/>
      <c r="FH16" s="1357"/>
      <c r="FI16" s="1357"/>
      <c r="FJ16" s="1357"/>
      <c r="FK16" s="1357"/>
      <c r="FL16" s="1357"/>
      <c r="FM16" s="1357"/>
      <c r="FN16" s="1357"/>
      <c r="FO16" s="1357"/>
      <c r="FP16" s="1357"/>
      <c r="FQ16" s="1357"/>
      <c r="FR16" s="1357"/>
      <c r="FS16" s="1357"/>
      <c r="FT16" s="1357"/>
      <c r="FU16" s="1357"/>
      <c r="FV16" s="1357"/>
      <c r="FW16" s="1357"/>
      <c r="FX16" s="1357"/>
      <c r="FY16" s="1357"/>
      <c r="FZ16" s="1357"/>
      <c r="GA16" s="1357"/>
      <c r="GB16" s="1357"/>
      <c r="GC16" s="1357"/>
      <c r="GD16" s="1357"/>
      <c r="GE16" s="1357"/>
      <c r="GF16" s="1357"/>
      <c r="GG16" s="1357"/>
      <c r="GH16" s="1357"/>
      <c r="GI16" s="1357"/>
      <c r="GJ16" s="1357"/>
      <c r="GK16" s="1357"/>
      <c r="GL16" s="1357"/>
      <c r="GM16" s="1357"/>
      <c r="GN16" s="1357"/>
      <c r="GO16" s="1357"/>
      <c r="GP16" s="1357"/>
      <c r="GQ16" s="1357"/>
      <c r="GR16" s="1357"/>
      <c r="GS16" s="1357"/>
      <c r="GT16" s="1357"/>
      <c r="GU16" s="1357"/>
      <c r="GV16" s="1357"/>
      <c r="GW16" s="1357"/>
      <c r="GX16" s="1357"/>
      <c r="GY16" s="1357"/>
      <c r="GZ16" s="1357"/>
      <c r="HA16" s="1357"/>
      <c r="HB16" s="1357"/>
      <c r="HC16" s="1357"/>
      <c r="HD16" s="1357"/>
      <c r="HE16" s="1357"/>
      <c r="HF16" s="1357"/>
      <c r="HG16" s="1357"/>
      <c r="HH16" s="1357"/>
      <c r="HI16" s="1357"/>
      <c r="HJ16" s="1357"/>
      <c r="HK16" s="1357"/>
      <c r="HL16" s="1357"/>
      <c r="HM16" s="1357"/>
      <c r="HN16" s="1357"/>
      <c r="HO16" s="1357"/>
      <c r="HP16" s="1357"/>
      <c r="HQ16" s="1357"/>
      <c r="HR16" s="1357"/>
      <c r="HS16" s="1357"/>
      <c r="HT16" s="1357"/>
      <c r="HU16" s="1357"/>
      <c r="HV16" s="1357"/>
      <c r="HW16" s="1357"/>
      <c r="HX16" s="1357"/>
      <c r="HY16" s="1357"/>
      <c r="HZ16" s="1357"/>
      <c r="IA16" s="1357"/>
      <c r="IB16" s="1357"/>
      <c r="IC16" s="1357"/>
      <c r="ID16" s="1357"/>
      <c r="IE16" s="1357"/>
      <c r="IF16" s="1357"/>
      <c r="IG16" s="1357"/>
      <c r="IH16" s="1357"/>
      <c r="II16" s="1357"/>
      <c r="IJ16" s="1357"/>
      <c r="IK16" s="1357"/>
      <c r="IL16" s="1357"/>
      <c r="IM16" s="1357"/>
      <c r="IN16" s="1357"/>
      <c r="IO16" s="1357"/>
      <c r="IP16" s="1357"/>
      <c r="IQ16" s="1357"/>
      <c r="IR16" s="1357"/>
      <c r="IS16" s="1357"/>
      <c r="IT16" s="1357"/>
      <c r="IU16" s="1357"/>
      <c r="IV16" s="1357"/>
    </row>
    <row r="17" spans="1:256" ht="38.5">
      <c r="A17" s="1366" t="s">
        <v>308</v>
      </c>
      <c r="B17" s="1367" t="s">
        <v>510</v>
      </c>
      <c r="C17" s="1367" t="s">
        <v>511</v>
      </c>
      <c r="D17" s="1367" t="s">
        <v>519</v>
      </c>
      <c r="E17" s="1367" t="s">
        <v>520</v>
      </c>
      <c r="F17" s="1367" t="s">
        <v>521</v>
      </c>
      <c r="G17" s="1367" t="s">
        <v>522</v>
      </c>
      <c r="H17" s="1367" t="s">
        <v>512</v>
      </c>
      <c r="I17" s="1367" t="s">
        <v>523</v>
      </c>
      <c r="J17" s="1357"/>
      <c r="K17" s="1368"/>
      <c r="L17" s="1368"/>
      <c r="M17" s="1368"/>
      <c r="N17" s="1368"/>
      <c r="O17" s="1368"/>
      <c r="P17" s="1368"/>
      <c r="Q17" s="1368"/>
      <c r="R17" s="1368"/>
      <c r="S17" s="1368"/>
      <c r="T17" s="1368"/>
      <c r="U17" s="1368"/>
      <c r="V17" s="1368"/>
      <c r="W17" s="1368"/>
      <c r="X17" s="1368"/>
      <c r="Y17" s="1368"/>
      <c r="Z17" s="1368"/>
      <c r="AA17" s="1368"/>
      <c r="AB17" s="1368"/>
      <c r="AC17" s="1368"/>
      <c r="AD17" s="1368"/>
      <c r="AE17" s="1368"/>
      <c r="AF17" s="1368"/>
      <c r="AG17" s="1368"/>
      <c r="AH17" s="1368"/>
      <c r="AI17" s="1368"/>
      <c r="AJ17" s="1368"/>
      <c r="AK17" s="1368"/>
      <c r="AL17" s="1368"/>
      <c r="AM17" s="1368"/>
      <c r="AN17" s="1368"/>
      <c r="AO17" s="1368"/>
      <c r="AP17" s="1368"/>
      <c r="AQ17" s="1368"/>
      <c r="AR17" s="1368"/>
      <c r="AS17" s="1368"/>
      <c r="AT17" s="1368"/>
      <c r="AU17" s="1368"/>
      <c r="AV17" s="1368"/>
      <c r="AW17" s="1368"/>
      <c r="AX17" s="1368"/>
      <c r="AY17" s="1368"/>
      <c r="AZ17" s="1368"/>
      <c r="BA17" s="1368"/>
      <c r="BB17" s="1368"/>
      <c r="BC17" s="1368"/>
      <c r="BD17" s="1368"/>
      <c r="BE17" s="1368"/>
      <c r="BF17" s="1368"/>
      <c r="BG17" s="1368"/>
      <c r="BH17" s="1368"/>
      <c r="BI17" s="1368"/>
      <c r="BJ17" s="1368"/>
      <c r="BK17" s="1368"/>
      <c r="BL17" s="1368"/>
      <c r="BM17" s="1368"/>
      <c r="BN17" s="1368"/>
      <c r="BO17" s="1368"/>
      <c r="BP17" s="1368"/>
      <c r="BQ17" s="1368"/>
      <c r="BR17" s="1368"/>
      <c r="BS17" s="1368"/>
      <c r="BT17" s="1368"/>
      <c r="BU17" s="1368"/>
      <c r="BV17" s="1368"/>
      <c r="BW17" s="1368"/>
      <c r="BX17" s="1368"/>
      <c r="BY17" s="1368"/>
      <c r="BZ17" s="1368"/>
      <c r="CA17" s="1368"/>
      <c r="CB17" s="1368"/>
      <c r="CC17" s="1368"/>
      <c r="CD17" s="1368"/>
      <c r="CE17" s="1368"/>
      <c r="CF17" s="1368"/>
      <c r="CG17" s="1368"/>
      <c r="CH17" s="1368"/>
      <c r="CI17" s="1368"/>
      <c r="CJ17" s="1368"/>
      <c r="CK17" s="1368"/>
      <c r="CL17" s="1368"/>
      <c r="CM17" s="1368"/>
      <c r="CN17" s="1368"/>
      <c r="CO17" s="1368"/>
      <c r="CP17" s="1368"/>
      <c r="CQ17" s="1368"/>
      <c r="CR17" s="1368"/>
      <c r="CS17" s="1368"/>
      <c r="CT17" s="1368"/>
      <c r="CU17" s="1368"/>
      <c r="CV17" s="1368"/>
      <c r="CW17" s="1368"/>
      <c r="CX17" s="1368"/>
      <c r="CY17" s="1368"/>
      <c r="CZ17" s="1368"/>
      <c r="DA17" s="1368"/>
      <c r="DB17" s="1368"/>
      <c r="DC17" s="1368"/>
      <c r="DD17" s="1368"/>
      <c r="DE17" s="1368"/>
      <c r="DF17" s="1368"/>
      <c r="DG17" s="1368"/>
      <c r="DH17" s="1368"/>
      <c r="DI17" s="1368"/>
      <c r="DJ17" s="1368"/>
      <c r="DK17" s="1368"/>
      <c r="DL17" s="1368"/>
      <c r="DM17" s="1368"/>
      <c r="DN17" s="1368"/>
      <c r="DO17" s="1368"/>
      <c r="DP17" s="1368"/>
      <c r="DQ17" s="1368"/>
      <c r="DR17" s="1368"/>
      <c r="DS17" s="1368"/>
      <c r="DT17" s="1368"/>
      <c r="DU17" s="1368"/>
      <c r="DV17" s="1368"/>
      <c r="DW17" s="1368"/>
      <c r="DX17" s="1368"/>
      <c r="DY17" s="1368"/>
      <c r="DZ17" s="1368"/>
      <c r="EA17" s="1368"/>
      <c r="EB17" s="1368"/>
      <c r="EC17" s="1368"/>
      <c r="ED17" s="1368"/>
      <c r="EE17" s="1368"/>
      <c r="EF17" s="1368"/>
      <c r="EG17" s="1368"/>
      <c r="EH17" s="1368"/>
      <c r="EI17" s="1368"/>
      <c r="EJ17" s="1368"/>
      <c r="EK17" s="1368"/>
      <c r="EL17" s="1368"/>
      <c r="EM17" s="1368"/>
      <c r="EN17" s="1368"/>
      <c r="EO17" s="1368"/>
      <c r="EP17" s="1368"/>
      <c r="EQ17" s="1368"/>
      <c r="ER17" s="1368"/>
      <c r="ES17" s="1368"/>
      <c r="ET17" s="1368"/>
      <c r="EU17" s="1368"/>
      <c r="EV17" s="1368"/>
      <c r="EW17" s="1368"/>
      <c r="EX17" s="1368"/>
      <c r="EY17" s="1368"/>
      <c r="EZ17" s="1368"/>
      <c r="FA17" s="1368"/>
      <c r="FB17" s="1368"/>
      <c r="FC17" s="1368"/>
      <c r="FD17" s="1368"/>
      <c r="FE17" s="1368"/>
      <c r="FF17" s="1368"/>
      <c r="FG17" s="1368"/>
      <c r="FH17" s="1368"/>
      <c r="FI17" s="1368"/>
      <c r="FJ17" s="1368"/>
      <c r="FK17" s="1368"/>
      <c r="FL17" s="1368"/>
      <c r="FM17" s="1368"/>
      <c r="FN17" s="1368"/>
      <c r="FO17" s="1368"/>
      <c r="FP17" s="1368"/>
      <c r="FQ17" s="1368"/>
      <c r="FR17" s="1368"/>
      <c r="FS17" s="1368"/>
      <c r="FT17" s="1368"/>
      <c r="FU17" s="1368"/>
      <c r="FV17" s="1368"/>
      <c r="FW17" s="1368"/>
      <c r="FX17" s="1368"/>
      <c r="FY17" s="1368"/>
      <c r="FZ17" s="1368"/>
      <c r="GA17" s="1368"/>
      <c r="GB17" s="1368"/>
      <c r="GC17" s="1368"/>
      <c r="GD17" s="1368"/>
      <c r="GE17" s="1368"/>
      <c r="GF17" s="1368"/>
      <c r="GG17" s="1368"/>
      <c r="GH17" s="1368"/>
      <c r="GI17" s="1368"/>
      <c r="GJ17" s="1368"/>
      <c r="GK17" s="1368"/>
      <c r="GL17" s="1368"/>
      <c r="GM17" s="1368"/>
      <c r="GN17" s="1368"/>
      <c r="GO17" s="1368"/>
      <c r="GP17" s="1368"/>
      <c r="GQ17" s="1368"/>
      <c r="GR17" s="1368"/>
      <c r="GS17" s="1368"/>
      <c r="GT17" s="1368"/>
      <c r="GU17" s="1368"/>
      <c r="GV17" s="1368"/>
      <c r="GW17" s="1368"/>
      <c r="GX17" s="1368"/>
      <c r="GY17" s="1368"/>
      <c r="GZ17" s="1368"/>
      <c r="HA17" s="1368"/>
      <c r="HB17" s="1368"/>
      <c r="HC17" s="1368"/>
      <c r="HD17" s="1368"/>
      <c r="HE17" s="1368"/>
      <c r="HF17" s="1368"/>
      <c r="HG17" s="1368"/>
      <c r="HH17" s="1368"/>
      <c r="HI17" s="1368"/>
      <c r="HJ17" s="1368"/>
      <c r="HK17" s="1368"/>
      <c r="HL17" s="1368"/>
      <c r="HM17" s="1368"/>
      <c r="HN17" s="1368"/>
      <c r="HO17" s="1368"/>
      <c r="HP17" s="1368"/>
      <c r="HQ17" s="1368"/>
      <c r="HR17" s="1368"/>
      <c r="HS17" s="1368"/>
      <c r="HT17" s="1368"/>
      <c r="HU17" s="1368"/>
      <c r="HV17" s="1368"/>
      <c r="HW17" s="1368"/>
      <c r="HX17" s="1368"/>
      <c r="HY17" s="1368"/>
      <c r="HZ17" s="1368"/>
      <c r="IA17" s="1368"/>
      <c r="IB17" s="1368"/>
      <c r="IC17" s="1368"/>
      <c r="ID17" s="1368"/>
      <c r="IE17" s="1368"/>
      <c r="IF17" s="1368"/>
      <c r="IG17" s="1368"/>
      <c r="IH17" s="1368"/>
      <c r="II17" s="1368"/>
      <c r="IJ17" s="1368"/>
      <c r="IK17" s="1368"/>
      <c r="IL17" s="1368"/>
      <c r="IM17" s="1368"/>
      <c r="IN17" s="1368"/>
      <c r="IO17" s="1368"/>
      <c r="IP17" s="1368"/>
      <c r="IQ17" s="1368"/>
      <c r="IR17" s="1368"/>
      <c r="IS17" s="1368"/>
      <c r="IT17" s="1368"/>
      <c r="IU17" s="1368"/>
      <c r="IV17" s="1368"/>
    </row>
    <row r="18" spans="1:256">
      <c r="A18" s="1361">
        <f>+A14+1</f>
        <v>5</v>
      </c>
      <c r="B18" s="1358" t="s">
        <v>513</v>
      </c>
      <c r="C18" s="829">
        <f>+H12</f>
        <v>0</v>
      </c>
      <c r="D18" s="829">
        <f>C18</f>
        <v>0</v>
      </c>
      <c r="E18" s="1358"/>
      <c r="F18" s="711">
        <v>365</v>
      </c>
      <c r="G18" s="1369">
        <f>F18/$F$18</f>
        <v>1</v>
      </c>
      <c r="H18" s="829">
        <f>C18*G18</f>
        <v>0</v>
      </c>
      <c r="I18" s="829">
        <f>H18</f>
        <v>0</v>
      </c>
      <c r="J18" s="1357"/>
      <c r="K18" s="1357"/>
      <c r="L18" s="1357"/>
      <c r="M18" s="1357"/>
      <c r="N18" s="1357"/>
      <c r="O18" s="1357"/>
      <c r="P18" s="1357"/>
      <c r="Q18" s="1357"/>
      <c r="R18" s="1357"/>
      <c r="S18" s="1357"/>
      <c r="T18" s="1357"/>
      <c r="U18" s="1357"/>
      <c r="V18" s="1357"/>
      <c r="W18" s="1357"/>
      <c r="X18" s="1357"/>
      <c r="Y18" s="1357"/>
      <c r="Z18" s="1357"/>
      <c r="AA18" s="1357"/>
      <c r="AB18" s="1357"/>
      <c r="AC18" s="1357"/>
      <c r="AD18" s="1357"/>
      <c r="AE18" s="1357"/>
      <c r="AF18" s="1357"/>
      <c r="AG18" s="1357"/>
      <c r="AH18" s="1357"/>
      <c r="AI18" s="1357"/>
      <c r="AJ18" s="1357"/>
      <c r="AK18" s="1357"/>
      <c r="AL18" s="1357"/>
      <c r="AM18" s="1357"/>
      <c r="AN18" s="1357"/>
      <c r="AO18" s="1357"/>
      <c r="AP18" s="1357"/>
      <c r="AQ18" s="1357"/>
      <c r="AR18" s="1357"/>
      <c r="AS18" s="1357"/>
      <c r="AT18" s="1357"/>
      <c r="AU18" s="1357"/>
      <c r="AV18" s="1357"/>
      <c r="AW18" s="1357"/>
      <c r="AX18" s="1357"/>
      <c r="AY18" s="1357"/>
      <c r="AZ18" s="1357"/>
      <c r="BA18" s="1357"/>
      <c r="BB18" s="1357"/>
      <c r="BC18" s="1357"/>
      <c r="BD18" s="1357"/>
      <c r="BE18" s="1357"/>
      <c r="BF18" s="1357"/>
      <c r="BG18" s="1357"/>
      <c r="BH18" s="1357"/>
      <c r="BI18" s="1357"/>
      <c r="BJ18" s="1357"/>
      <c r="BK18" s="1357"/>
      <c r="BL18" s="1357"/>
      <c r="BM18" s="1357"/>
      <c r="BN18" s="1357"/>
      <c r="BO18" s="1357"/>
      <c r="BP18" s="1357"/>
      <c r="BQ18" s="1357"/>
      <c r="BR18" s="1357"/>
      <c r="BS18" s="1357"/>
      <c r="BT18" s="1357"/>
      <c r="BU18" s="1357"/>
      <c r="BV18" s="1357"/>
      <c r="BW18" s="1357"/>
      <c r="BX18" s="1357"/>
      <c r="BY18" s="1357"/>
      <c r="BZ18" s="1357"/>
      <c r="CA18" s="1357"/>
      <c r="CB18" s="1357"/>
      <c r="CC18" s="1357"/>
      <c r="CD18" s="1357"/>
      <c r="CE18" s="1357"/>
      <c r="CF18" s="1357"/>
      <c r="CG18" s="1357"/>
      <c r="CH18" s="1357"/>
      <c r="CI18" s="1357"/>
      <c r="CJ18" s="1357"/>
      <c r="CK18" s="1357"/>
      <c r="CL18" s="1357"/>
      <c r="CM18" s="1357"/>
      <c r="CN18" s="1357"/>
      <c r="CO18" s="1357"/>
      <c r="CP18" s="1357"/>
      <c r="CQ18" s="1357"/>
      <c r="CR18" s="1357"/>
      <c r="CS18" s="1357"/>
      <c r="CT18" s="1357"/>
      <c r="CU18" s="1357"/>
      <c r="CV18" s="1357"/>
      <c r="CW18" s="1357"/>
      <c r="CX18" s="1357"/>
      <c r="CY18" s="1357"/>
      <c r="CZ18" s="1357"/>
      <c r="DA18" s="1357"/>
      <c r="DB18" s="1357"/>
      <c r="DC18" s="1357"/>
      <c r="DD18" s="1357"/>
      <c r="DE18" s="1357"/>
      <c r="DF18" s="1357"/>
      <c r="DG18" s="1357"/>
      <c r="DH18" s="1357"/>
      <c r="DI18" s="1357"/>
      <c r="DJ18" s="1357"/>
      <c r="DK18" s="1357"/>
      <c r="DL18" s="1357"/>
      <c r="DM18" s="1357"/>
      <c r="DN18" s="1357"/>
      <c r="DO18" s="1357"/>
      <c r="DP18" s="1357"/>
      <c r="DQ18" s="1357"/>
      <c r="DR18" s="1357"/>
      <c r="DS18" s="1357"/>
      <c r="DT18" s="1357"/>
      <c r="DU18" s="1357"/>
      <c r="DV18" s="1357"/>
      <c r="DW18" s="1357"/>
      <c r="DX18" s="1357"/>
      <c r="DY18" s="1357"/>
      <c r="DZ18" s="1357"/>
      <c r="EA18" s="1357"/>
      <c r="EB18" s="1357"/>
      <c r="EC18" s="1357"/>
      <c r="ED18" s="1357"/>
      <c r="EE18" s="1357"/>
      <c r="EF18" s="1357"/>
      <c r="EG18" s="1357"/>
      <c r="EH18" s="1357"/>
      <c r="EI18" s="1357"/>
      <c r="EJ18" s="1357"/>
      <c r="EK18" s="1357"/>
      <c r="EL18" s="1357"/>
      <c r="EM18" s="1357"/>
      <c r="EN18" s="1357"/>
      <c r="EO18" s="1357"/>
      <c r="EP18" s="1357"/>
      <c r="EQ18" s="1357"/>
      <c r="ER18" s="1357"/>
      <c r="ES18" s="1357"/>
      <c r="ET18" s="1357"/>
      <c r="EU18" s="1357"/>
      <c r="EV18" s="1357"/>
      <c r="EW18" s="1357"/>
      <c r="EX18" s="1357"/>
      <c r="EY18" s="1357"/>
      <c r="EZ18" s="1357"/>
      <c r="FA18" s="1357"/>
      <c r="FB18" s="1357"/>
      <c r="FC18" s="1357"/>
      <c r="FD18" s="1357"/>
      <c r="FE18" s="1357"/>
      <c r="FF18" s="1357"/>
      <c r="FG18" s="1357"/>
      <c r="FH18" s="1357"/>
      <c r="FI18" s="1357"/>
      <c r="FJ18" s="1357"/>
      <c r="FK18" s="1357"/>
      <c r="FL18" s="1357"/>
      <c r="FM18" s="1357"/>
      <c r="FN18" s="1357"/>
      <c r="FO18" s="1357"/>
      <c r="FP18" s="1357"/>
      <c r="FQ18" s="1357"/>
      <c r="FR18" s="1357"/>
      <c r="FS18" s="1357"/>
      <c r="FT18" s="1357"/>
      <c r="FU18" s="1357"/>
      <c r="FV18" s="1357"/>
      <c r="FW18" s="1357"/>
      <c r="FX18" s="1357"/>
      <c r="FY18" s="1357"/>
      <c r="FZ18" s="1357"/>
      <c r="GA18" s="1357"/>
      <c r="GB18" s="1357"/>
      <c r="GC18" s="1357"/>
      <c r="GD18" s="1357"/>
      <c r="GE18" s="1357"/>
      <c r="GF18" s="1357"/>
      <c r="GG18" s="1357"/>
      <c r="GH18" s="1357"/>
      <c r="GI18" s="1357"/>
      <c r="GJ18" s="1357"/>
      <c r="GK18" s="1357"/>
      <c r="GL18" s="1357"/>
      <c r="GM18" s="1357"/>
      <c r="GN18" s="1357"/>
      <c r="GO18" s="1357"/>
      <c r="GP18" s="1357"/>
      <c r="GQ18" s="1357"/>
      <c r="GR18" s="1357"/>
      <c r="GS18" s="1357"/>
      <c r="GT18" s="1357"/>
      <c r="GU18" s="1357"/>
      <c r="GV18" s="1357"/>
      <c r="GW18" s="1357"/>
      <c r="GX18" s="1357"/>
      <c r="GY18" s="1357"/>
      <c r="GZ18" s="1357"/>
      <c r="HA18" s="1357"/>
      <c r="HB18" s="1357"/>
      <c r="HC18" s="1357"/>
      <c r="HD18" s="1357"/>
      <c r="HE18" s="1357"/>
      <c r="HF18" s="1357"/>
      <c r="HG18" s="1357"/>
      <c r="HH18" s="1357"/>
      <c r="HI18" s="1357"/>
      <c r="HJ18" s="1357"/>
      <c r="HK18" s="1357"/>
      <c r="HL18" s="1357"/>
      <c r="HM18" s="1357"/>
      <c r="HN18" s="1357"/>
      <c r="HO18" s="1357"/>
      <c r="HP18" s="1357"/>
      <c r="HQ18" s="1357"/>
      <c r="HR18" s="1357"/>
      <c r="HS18" s="1357"/>
      <c r="HT18" s="1357"/>
      <c r="HU18" s="1357"/>
      <c r="HV18" s="1357"/>
      <c r="HW18" s="1357"/>
      <c r="HX18" s="1357"/>
      <c r="HY18" s="1357"/>
      <c r="HZ18" s="1357"/>
      <c r="IA18" s="1357"/>
      <c r="IB18" s="1357"/>
      <c r="IC18" s="1357"/>
      <c r="ID18" s="1357"/>
      <c r="IE18" s="1357"/>
      <c r="IF18" s="1357"/>
      <c r="IG18" s="1357"/>
      <c r="IH18" s="1357"/>
      <c r="II18" s="1357"/>
      <c r="IJ18" s="1357"/>
      <c r="IK18" s="1357"/>
      <c r="IL18" s="1357"/>
      <c r="IM18" s="1357"/>
      <c r="IN18" s="1357"/>
      <c r="IO18" s="1357"/>
      <c r="IP18" s="1357"/>
      <c r="IQ18" s="1357"/>
      <c r="IR18" s="1357"/>
      <c r="IS18" s="1357"/>
      <c r="IT18" s="1357"/>
      <c r="IU18" s="1357"/>
      <c r="IV18" s="1357"/>
    </row>
    <row r="19" spans="1:256">
      <c r="A19" s="1361">
        <f>+A18+1</f>
        <v>6</v>
      </c>
      <c r="B19" s="1358" t="s">
        <v>514</v>
      </c>
      <c r="C19" s="829">
        <f>+$H$14</f>
        <v>0</v>
      </c>
      <c r="D19" s="829">
        <f>D18+C19</f>
        <v>0</v>
      </c>
      <c r="E19" s="1358">
        <v>31</v>
      </c>
      <c r="F19" s="711">
        <v>335</v>
      </c>
      <c r="G19" s="1369">
        <f t="shared" ref="G19:G30" si="0">F19/$F$18</f>
        <v>0.9178082191780822</v>
      </c>
      <c r="H19" s="829">
        <f t="shared" ref="H19:H30" si="1">C19*G19</f>
        <v>0</v>
      </c>
      <c r="I19" s="829">
        <f>I18+H19</f>
        <v>0</v>
      </c>
      <c r="J19" s="1357"/>
      <c r="K19" s="1357"/>
      <c r="L19" s="1357"/>
      <c r="M19" s="1357"/>
      <c r="N19" s="1357"/>
      <c r="O19" s="1357"/>
      <c r="P19" s="1357"/>
      <c r="Q19" s="1357"/>
      <c r="R19" s="1357"/>
      <c r="S19" s="1357"/>
      <c r="T19" s="1357"/>
      <c r="U19" s="1357"/>
      <c r="V19" s="1357"/>
      <c r="W19" s="1357"/>
      <c r="X19" s="1357"/>
      <c r="Y19" s="1357"/>
      <c r="Z19" s="1357"/>
      <c r="AA19" s="1357"/>
      <c r="AB19" s="1357"/>
      <c r="AC19" s="1357"/>
      <c r="AD19" s="1357"/>
      <c r="AE19" s="1357"/>
      <c r="AF19" s="1357"/>
      <c r="AG19" s="1357"/>
      <c r="AH19" s="1357"/>
      <c r="AI19" s="1357"/>
      <c r="AJ19" s="1357"/>
      <c r="AK19" s="1357"/>
      <c r="AL19" s="1357"/>
      <c r="AM19" s="1357"/>
      <c r="AN19" s="1357"/>
      <c r="AO19" s="1357"/>
      <c r="AP19" s="1357"/>
      <c r="AQ19" s="1357"/>
      <c r="AR19" s="1357"/>
      <c r="AS19" s="1357"/>
      <c r="AT19" s="1357"/>
      <c r="AU19" s="1357"/>
      <c r="AV19" s="1357"/>
      <c r="AW19" s="1357"/>
      <c r="AX19" s="1357"/>
      <c r="AY19" s="1357"/>
      <c r="AZ19" s="1357"/>
      <c r="BA19" s="1357"/>
      <c r="BB19" s="1357"/>
      <c r="BC19" s="1357"/>
      <c r="BD19" s="1357"/>
      <c r="BE19" s="1357"/>
      <c r="BF19" s="1357"/>
      <c r="BG19" s="1357"/>
      <c r="BH19" s="1357"/>
      <c r="BI19" s="1357"/>
      <c r="BJ19" s="1357"/>
      <c r="BK19" s="1357"/>
      <c r="BL19" s="1357"/>
      <c r="BM19" s="1357"/>
      <c r="BN19" s="1357"/>
      <c r="BO19" s="1357"/>
      <c r="BP19" s="1357"/>
      <c r="BQ19" s="1357"/>
      <c r="BR19" s="1357"/>
      <c r="BS19" s="1357"/>
      <c r="BT19" s="1357"/>
      <c r="BU19" s="1357"/>
      <c r="BV19" s="1357"/>
      <c r="BW19" s="1357"/>
      <c r="BX19" s="1357"/>
      <c r="BY19" s="1357"/>
      <c r="BZ19" s="1357"/>
      <c r="CA19" s="1357"/>
      <c r="CB19" s="1357"/>
      <c r="CC19" s="1357"/>
      <c r="CD19" s="1357"/>
      <c r="CE19" s="1357"/>
      <c r="CF19" s="1357"/>
      <c r="CG19" s="1357"/>
      <c r="CH19" s="1357"/>
      <c r="CI19" s="1357"/>
      <c r="CJ19" s="1357"/>
      <c r="CK19" s="1357"/>
      <c r="CL19" s="1357"/>
      <c r="CM19" s="1357"/>
      <c r="CN19" s="1357"/>
      <c r="CO19" s="1357"/>
      <c r="CP19" s="1357"/>
      <c r="CQ19" s="1357"/>
      <c r="CR19" s="1357"/>
      <c r="CS19" s="1357"/>
      <c r="CT19" s="1357"/>
      <c r="CU19" s="1357"/>
      <c r="CV19" s="1357"/>
      <c r="CW19" s="1357"/>
      <c r="CX19" s="1357"/>
      <c r="CY19" s="1357"/>
      <c r="CZ19" s="1357"/>
      <c r="DA19" s="1357"/>
      <c r="DB19" s="1357"/>
      <c r="DC19" s="1357"/>
      <c r="DD19" s="1357"/>
      <c r="DE19" s="1357"/>
      <c r="DF19" s="1357"/>
      <c r="DG19" s="1357"/>
      <c r="DH19" s="1357"/>
      <c r="DI19" s="1357"/>
      <c r="DJ19" s="1357"/>
      <c r="DK19" s="1357"/>
      <c r="DL19" s="1357"/>
      <c r="DM19" s="1357"/>
      <c r="DN19" s="1357"/>
      <c r="DO19" s="1357"/>
      <c r="DP19" s="1357"/>
      <c r="DQ19" s="1357"/>
      <c r="DR19" s="1357"/>
      <c r="DS19" s="1357"/>
      <c r="DT19" s="1357"/>
      <c r="DU19" s="1357"/>
      <c r="DV19" s="1357"/>
      <c r="DW19" s="1357"/>
      <c r="DX19" s="1357"/>
      <c r="DY19" s="1357"/>
      <c r="DZ19" s="1357"/>
      <c r="EA19" s="1357"/>
      <c r="EB19" s="1357"/>
      <c r="EC19" s="1357"/>
      <c r="ED19" s="1357"/>
      <c r="EE19" s="1357"/>
      <c r="EF19" s="1357"/>
      <c r="EG19" s="1357"/>
      <c r="EH19" s="1357"/>
      <c r="EI19" s="1357"/>
      <c r="EJ19" s="1357"/>
      <c r="EK19" s="1357"/>
      <c r="EL19" s="1357"/>
      <c r="EM19" s="1357"/>
      <c r="EN19" s="1357"/>
      <c r="EO19" s="1357"/>
      <c r="EP19" s="1357"/>
      <c r="EQ19" s="1357"/>
      <c r="ER19" s="1357"/>
      <c r="ES19" s="1357"/>
      <c r="ET19" s="1357"/>
      <c r="EU19" s="1357"/>
      <c r="EV19" s="1357"/>
      <c r="EW19" s="1357"/>
      <c r="EX19" s="1357"/>
      <c r="EY19" s="1357"/>
      <c r="EZ19" s="1357"/>
      <c r="FA19" s="1357"/>
      <c r="FB19" s="1357"/>
      <c r="FC19" s="1357"/>
      <c r="FD19" s="1357"/>
      <c r="FE19" s="1357"/>
      <c r="FF19" s="1357"/>
      <c r="FG19" s="1357"/>
      <c r="FH19" s="1357"/>
      <c r="FI19" s="1357"/>
      <c r="FJ19" s="1357"/>
      <c r="FK19" s="1357"/>
      <c r="FL19" s="1357"/>
      <c r="FM19" s="1357"/>
      <c r="FN19" s="1357"/>
      <c r="FO19" s="1357"/>
      <c r="FP19" s="1357"/>
      <c r="FQ19" s="1357"/>
      <c r="FR19" s="1357"/>
      <c r="FS19" s="1357"/>
      <c r="FT19" s="1357"/>
      <c r="FU19" s="1357"/>
      <c r="FV19" s="1357"/>
      <c r="FW19" s="1357"/>
      <c r="FX19" s="1357"/>
      <c r="FY19" s="1357"/>
      <c r="FZ19" s="1357"/>
      <c r="GA19" s="1357"/>
      <c r="GB19" s="1357"/>
      <c r="GC19" s="1357"/>
      <c r="GD19" s="1357"/>
      <c r="GE19" s="1357"/>
      <c r="GF19" s="1357"/>
      <c r="GG19" s="1357"/>
      <c r="GH19" s="1357"/>
      <c r="GI19" s="1357"/>
      <c r="GJ19" s="1357"/>
      <c r="GK19" s="1357"/>
      <c r="GL19" s="1357"/>
      <c r="GM19" s="1357"/>
      <c r="GN19" s="1357"/>
      <c r="GO19" s="1357"/>
      <c r="GP19" s="1357"/>
      <c r="GQ19" s="1357"/>
      <c r="GR19" s="1357"/>
      <c r="GS19" s="1357"/>
      <c r="GT19" s="1357"/>
      <c r="GU19" s="1357"/>
      <c r="GV19" s="1357"/>
      <c r="GW19" s="1357"/>
      <c r="GX19" s="1357"/>
      <c r="GY19" s="1357"/>
      <c r="GZ19" s="1357"/>
      <c r="HA19" s="1357"/>
      <c r="HB19" s="1357"/>
      <c r="HC19" s="1357"/>
      <c r="HD19" s="1357"/>
      <c r="HE19" s="1357"/>
      <c r="HF19" s="1357"/>
      <c r="HG19" s="1357"/>
      <c r="HH19" s="1357"/>
      <c r="HI19" s="1357"/>
      <c r="HJ19" s="1357"/>
      <c r="HK19" s="1357"/>
      <c r="HL19" s="1357"/>
      <c r="HM19" s="1357"/>
      <c r="HN19" s="1357"/>
      <c r="HO19" s="1357"/>
      <c r="HP19" s="1357"/>
      <c r="HQ19" s="1357"/>
      <c r="HR19" s="1357"/>
      <c r="HS19" s="1357"/>
      <c r="HT19" s="1357"/>
      <c r="HU19" s="1357"/>
      <c r="HV19" s="1357"/>
      <c r="HW19" s="1357"/>
      <c r="HX19" s="1357"/>
      <c r="HY19" s="1357"/>
      <c r="HZ19" s="1357"/>
      <c r="IA19" s="1357"/>
      <c r="IB19" s="1357"/>
      <c r="IC19" s="1357"/>
      <c r="ID19" s="1357"/>
      <c r="IE19" s="1357"/>
      <c r="IF19" s="1357"/>
      <c r="IG19" s="1357"/>
      <c r="IH19" s="1357"/>
      <c r="II19" s="1357"/>
      <c r="IJ19" s="1357"/>
      <c r="IK19" s="1357"/>
      <c r="IL19" s="1357"/>
      <c r="IM19" s="1357"/>
      <c r="IN19" s="1357"/>
      <c r="IO19" s="1357"/>
      <c r="IP19" s="1357"/>
      <c r="IQ19" s="1357"/>
      <c r="IR19" s="1357"/>
      <c r="IS19" s="1357"/>
      <c r="IT19" s="1357"/>
      <c r="IU19" s="1357"/>
      <c r="IV19" s="1357"/>
    </row>
    <row r="20" spans="1:256">
      <c r="A20" s="1361">
        <f t="shared" ref="A20:A30" si="2">+A19+1</f>
        <v>7</v>
      </c>
      <c r="B20" s="1358" t="s">
        <v>515</v>
      </c>
      <c r="C20" s="829">
        <f t="shared" ref="C20:C30" si="3">+$H$14</f>
        <v>0</v>
      </c>
      <c r="D20" s="829">
        <f>D19+C20</f>
        <v>0</v>
      </c>
      <c r="E20" s="711">
        <v>28</v>
      </c>
      <c r="F20" s="711">
        <v>307</v>
      </c>
      <c r="G20" s="1369">
        <f t="shared" si="0"/>
        <v>0.84109589041095889</v>
      </c>
      <c r="H20" s="829">
        <f t="shared" si="1"/>
        <v>0</v>
      </c>
      <c r="I20" s="829">
        <f t="shared" ref="I20:I30" si="4">I19+H20</f>
        <v>0</v>
      </c>
      <c r="J20" s="1357"/>
      <c r="K20" s="1357"/>
      <c r="L20" s="1357"/>
      <c r="M20" s="1357"/>
      <c r="N20" s="1357"/>
      <c r="O20" s="1357"/>
      <c r="P20" s="1357"/>
      <c r="Q20" s="1357"/>
      <c r="R20" s="1357"/>
      <c r="S20" s="1357"/>
      <c r="T20" s="1357"/>
      <c r="U20" s="1357"/>
      <c r="V20" s="1357"/>
      <c r="W20" s="1357"/>
      <c r="X20" s="1357"/>
      <c r="Y20" s="1357"/>
      <c r="Z20" s="1357"/>
      <c r="AA20" s="1357"/>
      <c r="AB20" s="1357"/>
      <c r="AC20" s="1357"/>
      <c r="AD20" s="1357"/>
      <c r="AE20" s="1357"/>
      <c r="AF20" s="1357"/>
      <c r="AG20" s="1357"/>
      <c r="AH20" s="1357"/>
      <c r="AI20" s="1357"/>
      <c r="AJ20" s="1357"/>
      <c r="AK20" s="1357"/>
      <c r="AL20" s="1357"/>
      <c r="AM20" s="1357"/>
      <c r="AN20" s="1357"/>
      <c r="AO20" s="1357"/>
      <c r="AP20" s="1357"/>
      <c r="AQ20" s="1357"/>
      <c r="AR20" s="1357"/>
      <c r="AS20" s="1357"/>
      <c r="AT20" s="1357"/>
      <c r="AU20" s="1357"/>
      <c r="AV20" s="1357"/>
      <c r="AW20" s="1357"/>
      <c r="AX20" s="1357"/>
      <c r="AY20" s="1357"/>
      <c r="AZ20" s="1357"/>
      <c r="BA20" s="1357"/>
      <c r="BB20" s="1357"/>
      <c r="BC20" s="1357"/>
      <c r="BD20" s="1357"/>
      <c r="BE20" s="1357"/>
      <c r="BF20" s="1357"/>
      <c r="BG20" s="1357"/>
      <c r="BH20" s="1357"/>
      <c r="BI20" s="1357"/>
      <c r="BJ20" s="1357"/>
      <c r="BK20" s="1357"/>
      <c r="BL20" s="1357"/>
      <c r="BM20" s="1357"/>
      <c r="BN20" s="1357"/>
      <c r="BO20" s="1357"/>
      <c r="BP20" s="1357"/>
      <c r="BQ20" s="1357"/>
      <c r="BR20" s="1357"/>
      <c r="BS20" s="1357"/>
      <c r="BT20" s="1357"/>
      <c r="BU20" s="1357"/>
      <c r="BV20" s="1357"/>
      <c r="BW20" s="1357"/>
      <c r="BX20" s="1357"/>
      <c r="BY20" s="1357"/>
      <c r="BZ20" s="1357"/>
      <c r="CA20" s="1357"/>
      <c r="CB20" s="1357"/>
      <c r="CC20" s="1357"/>
      <c r="CD20" s="1357"/>
      <c r="CE20" s="1357"/>
      <c r="CF20" s="1357"/>
      <c r="CG20" s="1357"/>
      <c r="CH20" s="1357"/>
      <c r="CI20" s="1357"/>
      <c r="CJ20" s="1357"/>
      <c r="CK20" s="1357"/>
      <c r="CL20" s="1357"/>
      <c r="CM20" s="1357"/>
      <c r="CN20" s="1357"/>
      <c r="CO20" s="1357"/>
      <c r="CP20" s="1357"/>
      <c r="CQ20" s="1357"/>
      <c r="CR20" s="1357"/>
      <c r="CS20" s="1357"/>
      <c r="CT20" s="1357"/>
      <c r="CU20" s="1357"/>
      <c r="CV20" s="1357"/>
      <c r="CW20" s="1357"/>
      <c r="CX20" s="1357"/>
      <c r="CY20" s="1357"/>
      <c r="CZ20" s="1357"/>
      <c r="DA20" s="1357"/>
      <c r="DB20" s="1357"/>
      <c r="DC20" s="1357"/>
      <c r="DD20" s="1357"/>
      <c r="DE20" s="1357"/>
      <c r="DF20" s="1357"/>
      <c r="DG20" s="1357"/>
      <c r="DH20" s="1357"/>
      <c r="DI20" s="1357"/>
      <c r="DJ20" s="1357"/>
      <c r="DK20" s="1357"/>
      <c r="DL20" s="1357"/>
      <c r="DM20" s="1357"/>
      <c r="DN20" s="1357"/>
      <c r="DO20" s="1357"/>
      <c r="DP20" s="1357"/>
      <c r="DQ20" s="1357"/>
      <c r="DR20" s="1357"/>
      <c r="DS20" s="1357"/>
      <c r="DT20" s="1357"/>
      <c r="DU20" s="1357"/>
      <c r="DV20" s="1357"/>
      <c r="DW20" s="1357"/>
      <c r="DX20" s="1357"/>
      <c r="DY20" s="1357"/>
      <c r="DZ20" s="1357"/>
      <c r="EA20" s="1357"/>
      <c r="EB20" s="1357"/>
      <c r="EC20" s="1357"/>
      <c r="ED20" s="1357"/>
      <c r="EE20" s="1357"/>
      <c r="EF20" s="1357"/>
      <c r="EG20" s="1357"/>
      <c r="EH20" s="1357"/>
      <c r="EI20" s="1357"/>
      <c r="EJ20" s="1357"/>
      <c r="EK20" s="1357"/>
      <c r="EL20" s="1357"/>
      <c r="EM20" s="1357"/>
      <c r="EN20" s="1357"/>
      <c r="EO20" s="1357"/>
      <c r="EP20" s="1357"/>
      <c r="EQ20" s="1357"/>
      <c r="ER20" s="1357"/>
      <c r="ES20" s="1357"/>
      <c r="ET20" s="1357"/>
      <c r="EU20" s="1357"/>
      <c r="EV20" s="1357"/>
      <c r="EW20" s="1357"/>
      <c r="EX20" s="1357"/>
      <c r="EY20" s="1357"/>
      <c r="EZ20" s="1357"/>
      <c r="FA20" s="1357"/>
      <c r="FB20" s="1357"/>
      <c r="FC20" s="1357"/>
      <c r="FD20" s="1357"/>
      <c r="FE20" s="1357"/>
      <c r="FF20" s="1357"/>
      <c r="FG20" s="1357"/>
      <c r="FH20" s="1357"/>
      <c r="FI20" s="1357"/>
      <c r="FJ20" s="1357"/>
      <c r="FK20" s="1357"/>
      <c r="FL20" s="1357"/>
      <c r="FM20" s="1357"/>
      <c r="FN20" s="1357"/>
      <c r="FO20" s="1357"/>
      <c r="FP20" s="1357"/>
      <c r="FQ20" s="1357"/>
      <c r="FR20" s="1357"/>
      <c r="FS20" s="1357"/>
      <c r="FT20" s="1357"/>
      <c r="FU20" s="1357"/>
      <c r="FV20" s="1357"/>
      <c r="FW20" s="1357"/>
      <c r="FX20" s="1357"/>
      <c r="FY20" s="1357"/>
      <c r="FZ20" s="1357"/>
      <c r="GA20" s="1357"/>
      <c r="GB20" s="1357"/>
      <c r="GC20" s="1357"/>
      <c r="GD20" s="1357"/>
      <c r="GE20" s="1357"/>
      <c r="GF20" s="1357"/>
      <c r="GG20" s="1357"/>
      <c r="GH20" s="1357"/>
      <c r="GI20" s="1357"/>
      <c r="GJ20" s="1357"/>
      <c r="GK20" s="1357"/>
      <c r="GL20" s="1357"/>
      <c r="GM20" s="1357"/>
      <c r="GN20" s="1357"/>
      <c r="GO20" s="1357"/>
      <c r="GP20" s="1357"/>
      <c r="GQ20" s="1357"/>
      <c r="GR20" s="1357"/>
      <c r="GS20" s="1357"/>
      <c r="GT20" s="1357"/>
      <c r="GU20" s="1357"/>
      <c r="GV20" s="1357"/>
      <c r="GW20" s="1357"/>
      <c r="GX20" s="1357"/>
      <c r="GY20" s="1357"/>
      <c r="GZ20" s="1357"/>
      <c r="HA20" s="1357"/>
      <c r="HB20" s="1357"/>
      <c r="HC20" s="1357"/>
      <c r="HD20" s="1357"/>
      <c r="HE20" s="1357"/>
      <c r="HF20" s="1357"/>
      <c r="HG20" s="1357"/>
      <c r="HH20" s="1357"/>
      <c r="HI20" s="1357"/>
      <c r="HJ20" s="1357"/>
      <c r="HK20" s="1357"/>
      <c r="HL20" s="1357"/>
      <c r="HM20" s="1357"/>
      <c r="HN20" s="1357"/>
      <c r="HO20" s="1357"/>
      <c r="HP20" s="1357"/>
      <c r="HQ20" s="1357"/>
      <c r="HR20" s="1357"/>
      <c r="HS20" s="1357"/>
      <c r="HT20" s="1357"/>
      <c r="HU20" s="1357"/>
      <c r="HV20" s="1357"/>
      <c r="HW20" s="1357"/>
      <c r="HX20" s="1357"/>
      <c r="HY20" s="1357"/>
      <c r="HZ20" s="1357"/>
      <c r="IA20" s="1357"/>
      <c r="IB20" s="1357"/>
      <c r="IC20" s="1357"/>
      <c r="ID20" s="1357"/>
      <c r="IE20" s="1357"/>
      <c r="IF20" s="1357"/>
      <c r="IG20" s="1357"/>
      <c r="IH20" s="1357"/>
      <c r="II20" s="1357"/>
      <c r="IJ20" s="1357"/>
      <c r="IK20" s="1357"/>
      <c r="IL20" s="1357"/>
      <c r="IM20" s="1357"/>
      <c r="IN20" s="1357"/>
      <c r="IO20" s="1357"/>
      <c r="IP20" s="1357"/>
      <c r="IQ20" s="1357"/>
      <c r="IR20" s="1357"/>
      <c r="IS20" s="1357"/>
      <c r="IT20" s="1357"/>
      <c r="IU20" s="1357"/>
      <c r="IV20" s="1357"/>
    </row>
    <row r="21" spans="1:256">
      <c r="A21" s="1361">
        <f t="shared" si="2"/>
        <v>8</v>
      </c>
      <c r="B21" s="1358" t="s">
        <v>323</v>
      </c>
      <c r="C21" s="829">
        <f t="shared" si="3"/>
        <v>0</v>
      </c>
      <c r="D21" s="829">
        <f>D20+C21</f>
        <v>0</v>
      </c>
      <c r="E21" s="1358">
        <v>31</v>
      </c>
      <c r="F21" s="711">
        <v>276</v>
      </c>
      <c r="G21" s="1369">
        <f t="shared" si="0"/>
        <v>0.75616438356164384</v>
      </c>
      <c r="H21" s="829">
        <f t="shared" si="1"/>
        <v>0</v>
      </c>
      <c r="I21" s="829">
        <f t="shared" si="4"/>
        <v>0</v>
      </c>
      <c r="J21" s="1357"/>
      <c r="K21" s="1357"/>
      <c r="L21" s="1357"/>
      <c r="M21" s="1357"/>
      <c r="N21" s="1357"/>
      <c r="O21" s="1357"/>
      <c r="P21" s="1357"/>
      <c r="Q21" s="1357"/>
      <c r="R21" s="1357"/>
      <c r="S21" s="1357"/>
      <c r="T21" s="1357"/>
      <c r="U21" s="1357"/>
      <c r="V21" s="1357"/>
      <c r="W21" s="1357"/>
      <c r="X21" s="1357"/>
      <c r="Y21" s="1357"/>
      <c r="Z21" s="1357"/>
      <c r="AA21" s="1357"/>
      <c r="AB21" s="1357"/>
      <c r="AC21" s="1357"/>
      <c r="AD21" s="1357"/>
      <c r="AE21" s="1357"/>
      <c r="AF21" s="1357"/>
      <c r="AG21" s="1357"/>
      <c r="AH21" s="1357"/>
      <c r="AI21" s="1357"/>
      <c r="AJ21" s="1357"/>
      <c r="AK21" s="1357"/>
      <c r="AL21" s="1357"/>
      <c r="AM21" s="1357"/>
      <c r="AN21" s="1357"/>
      <c r="AO21" s="1357"/>
      <c r="AP21" s="1357"/>
      <c r="AQ21" s="1357"/>
      <c r="AR21" s="1357"/>
      <c r="AS21" s="1357"/>
      <c r="AT21" s="1357"/>
      <c r="AU21" s="1357"/>
      <c r="AV21" s="1357"/>
      <c r="AW21" s="1357"/>
      <c r="AX21" s="1357"/>
      <c r="AY21" s="1357"/>
      <c r="AZ21" s="1357"/>
      <c r="BA21" s="1357"/>
      <c r="BB21" s="1357"/>
      <c r="BC21" s="1357"/>
      <c r="BD21" s="1357"/>
      <c r="BE21" s="1357"/>
      <c r="BF21" s="1357"/>
      <c r="BG21" s="1357"/>
      <c r="BH21" s="1357"/>
      <c r="BI21" s="1357"/>
      <c r="BJ21" s="1357"/>
      <c r="BK21" s="1357"/>
      <c r="BL21" s="1357"/>
      <c r="BM21" s="1357"/>
      <c r="BN21" s="1357"/>
      <c r="BO21" s="1357"/>
      <c r="BP21" s="1357"/>
      <c r="BQ21" s="1357"/>
      <c r="BR21" s="1357"/>
      <c r="BS21" s="1357"/>
      <c r="BT21" s="1357"/>
      <c r="BU21" s="1357"/>
      <c r="BV21" s="1357"/>
      <c r="BW21" s="1357"/>
      <c r="BX21" s="1357"/>
      <c r="BY21" s="1357"/>
      <c r="BZ21" s="1357"/>
      <c r="CA21" s="1357"/>
      <c r="CB21" s="1357"/>
      <c r="CC21" s="1357"/>
      <c r="CD21" s="1357"/>
      <c r="CE21" s="1357"/>
      <c r="CF21" s="1357"/>
      <c r="CG21" s="1357"/>
      <c r="CH21" s="1357"/>
      <c r="CI21" s="1357"/>
      <c r="CJ21" s="1357"/>
      <c r="CK21" s="1357"/>
      <c r="CL21" s="1357"/>
      <c r="CM21" s="1357"/>
      <c r="CN21" s="1357"/>
      <c r="CO21" s="1357"/>
      <c r="CP21" s="1357"/>
      <c r="CQ21" s="1357"/>
      <c r="CR21" s="1357"/>
      <c r="CS21" s="1357"/>
      <c r="CT21" s="1357"/>
      <c r="CU21" s="1357"/>
      <c r="CV21" s="1357"/>
      <c r="CW21" s="1357"/>
      <c r="CX21" s="1357"/>
      <c r="CY21" s="1357"/>
      <c r="CZ21" s="1357"/>
      <c r="DA21" s="1357"/>
      <c r="DB21" s="1357"/>
      <c r="DC21" s="1357"/>
      <c r="DD21" s="1357"/>
      <c r="DE21" s="1357"/>
      <c r="DF21" s="1357"/>
      <c r="DG21" s="1357"/>
      <c r="DH21" s="1357"/>
      <c r="DI21" s="1357"/>
      <c r="DJ21" s="1357"/>
      <c r="DK21" s="1357"/>
      <c r="DL21" s="1357"/>
      <c r="DM21" s="1357"/>
      <c r="DN21" s="1357"/>
      <c r="DO21" s="1357"/>
      <c r="DP21" s="1357"/>
      <c r="DQ21" s="1357"/>
      <c r="DR21" s="1357"/>
      <c r="DS21" s="1357"/>
      <c r="DT21" s="1357"/>
      <c r="DU21" s="1357"/>
      <c r="DV21" s="1357"/>
      <c r="DW21" s="1357"/>
      <c r="DX21" s="1357"/>
      <c r="DY21" s="1357"/>
      <c r="DZ21" s="1357"/>
      <c r="EA21" s="1357"/>
      <c r="EB21" s="1357"/>
      <c r="EC21" s="1357"/>
      <c r="ED21" s="1357"/>
      <c r="EE21" s="1357"/>
      <c r="EF21" s="1357"/>
      <c r="EG21" s="1357"/>
      <c r="EH21" s="1357"/>
      <c r="EI21" s="1357"/>
      <c r="EJ21" s="1357"/>
      <c r="EK21" s="1357"/>
      <c r="EL21" s="1357"/>
      <c r="EM21" s="1357"/>
      <c r="EN21" s="1357"/>
      <c r="EO21" s="1357"/>
      <c r="EP21" s="1357"/>
      <c r="EQ21" s="1357"/>
      <c r="ER21" s="1357"/>
      <c r="ES21" s="1357"/>
      <c r="ET21" s="1357"/>
      <c r="EU21" s="1357"/>
      <c r="EV21" s="1357"/>
      <c r="EW21" s="1357"/>
      <c r="EX21" s="1357"/>
      <c r="EY21" s="1357"/>
      <c r="EZ21" s="1357"/>
      <c r="FA21" s="1357"/>
      <c r="FB21" s="1357"/>
      <c r="FC21" s="1357"/>
      <c r="FD21" s="1357"/>
      <c r="FE21" s="1357"/>
      <c r="FF21" s="1357"/>
      <c r="FG21" s="1357"/>
      <c r="FH21" s="1357"/>
      <c r="FI21" s="1357"/>
      <c r="FJ21" s="1357"/>
      <c r="FK21" s="1357"/>
      <c r="FL21" s="1357"/>
      <c r="FM21" s="1357"/>
      <c r="FN21" s="1357"/>
      <c r="FO21" s="1357"/>
      <c r="FP21" s="1357"/>
      <c r="FQ21" s="1357"/>
      <c r="FR21" s="1357"/>
      <c r="FS21" s="1357"/>
      <c r="FT21" s="1357"/>
      <c r="FU21" s="1357"/>
      <c r="FV21" s="1357"/>
      <c r="FW21" s="1357"/>
      <c r="FX21" s="1357"/>
      <c r="FY21" s="1357"/>
      <c r="FZ21" s="1357"/>
      <c r="GA21" s="1357"/>
      <c r="GB21" s="1357"/>
      <c r="GC21" s="1357"/>
      <c r="GD21" s="1357"/>
      <c r="GE21" s="1357"/>
      <c r="GF21" s="1357"/>
      <c r="GG21" s="1357"/>
      <c r="GH21" s="1357"/>
      <c r="GI21" s="1357"/>
      <c r="GJ21" s="1357"/>
      <c r="GK21" s="1357"/>
      <c r="GL21" s="1357"/>
      <c r="GM21" s="1357"/>
      <c r="GN21" s="1357"/>
      <c r="GO21" s="1357"/>
      <c r="GP21" s="1357"/>
      <c r="GQ21" s="1357"/>
      <c r="GR21" s="1357"/>
      <c r="GS21" s="1357"/>
      <c r="GT21" s="1357"/>
      <c r="GU21" s="1357"/>
      <c r="GV21" s="1357"/>
      <c r="GW21" s="1357"/>
      <c r="GX21" s="1357"/>
      <c r="GY21" s="1357"/>
      <c r="GZ21" s="1357"/>
      <c r="HA21" s="1357"/>
      <c r="HB21" s="1357"/>
      <c r="HC21" s="1357"/>
      <c r="HD21" s="1357"/>
      <c r="HE21" s="1357"/>
      <c r="HF21" s="1357"/>
      <c r="HG21" s="1357"/>
      <c r="HH21" s="1357"/>
      <c r="HI21" s="1357"/>
      <c r="HJ21" s="1357"/>
      <c r="HK21" s="1357"/>
      <c r="HL21" s="1357"/>
      <c r="HM21" s="1357"/>
      <c r="HN21" s="1357"/>
      <c r="HO21" s="1357"/>
      <c r="HP21" s="1357"/>
      <c r="HQ21" s="1357"/>
      <c r="HR21" s="1357"/>
      <c r="HS21" s="1357"/>
      <c r="HT21" s="1357"/>
      <c r="HU21" s="1357"/>
      <c r="HV21" s="1357"/>
      <c r="HW21" s="1357"/>
      <c r="HX21" s="1357"/>
      <c r="HY21" s="1357"/>
      <c r="HZ21" s="1357"/>
      <c r="IA21" s="1357"/>
      <c r="IB21" s="1357"/>
      <c r="IC21" s="1357"/>
      <c r="ID21" s="1357"/>
      <c r="IE21" s="1357"/>
      <c r="IF21" s="1357"/>
      <c r="IG21" s="1357"/>
      <c r="IH21" s="1357"/>
      <c r="II21" s="1357"/>
      <c r="IJ21" s="1357"/>
      <c r="IK21" s="1357"/>
      <c r="IL21" s="1357"/>
      <c r="IM21" s="1357"/>
      <c r="IN21" s="1357"/>
      <c r="IO21" s="1357"/>
      <c r="IP21" s="1357"/>
      <c r="IQ21" s="1357"/>
      <c r="IR21" s="1357"/>
      <c r="IS21" s="1357"/>
      <c r="IT21" s="1357"/>
      <c r="IU21" s="1357"/>
      <c r="IV21" s="1357"/>
    </row>
    <row r="22" spans="1:256">
      <c r="A22" s="1361">
        <f t="shared" si="2"/>
        <v>9</v>
      </c>
      <c r="B22" s="1358" t="s">
        <v>324</v>
      </c>
      <c r="C22" s="829">
        <f t="shared" si="3"/>
        <v>0</v>
      </c>
      <c r="D22" s="829">
        <f t="shared" ref="D22:D30" si="5">D21+C22</f>
        <v>0</v>
      </c>
      <c r="E22" s="1358">
        <v>30</v>
      </c>
      <c r="F22" s="711">
        <v>246</v>
      </c>
      <c r="G22" s="1369">
        <f t="shared" si="0"/>
        <v>0.67397260273972603</v>
      </c>
      <c r="H22" s="829">
        <f t="shared" si="1"/>
        <v>0</v>
      </c>
      <c r="I22" s="829">
        <f t="shared" si="4"/>
        <v>0</v>
      </c>
      <c r="J22" s="1357"/>
      <c r="K22" s="1357"/>
      <c r="L22" s="1357"/>
      <c r="M22" s="1357"/>
      <c r="N22" s="1357"/>
      <c r="O22" s="1357"/>
      <c r="P22" s="1357"/>
      <c r="Q22" s="1357"/>
      <c r="R22" s="1357"/>
      <c r="S22" s="1357"/>
      <c r="T22" s="1357"/>
      <c r="U22" s="1357"/>
      <c r="V22" s="1357"/>
      <c r="W22" s="1357"/>
      <c r="X22" s="1357"/>
      <c r="Y22" s="1357"/>
      <c r="Z22" s="1357"/>
      <c r="AA22" s="1357"/>
      <c r="AB22" s="1357"/>
      <c r="AC22" s="1357"/>
      <c r="AD22" s="1357"/>
      <c r="AE22" s="1357"/>
      <c r="AF22" s="1357"/>
      <c r="AG22" s="1357"/>
      <c r="AH22" s="1357"/>
      <c r="AI22" s="1357"/>
      <c r="AJ22" s="1357"/>
      <c r="AK22" s="1357"/>
      <c r="AL22" s="1357"/>
      <c r="AM22" s="1357"/>
      <c r="AN22" s="1357"/>
      <c r="AO22" s="1357"/>
      <c r="AP22" s="1357"/>
      <c r="AQ22" s="1357"/>
      <c r="AR22" s="1357"/>
      <c r="AS22" s="1357"/>
      <c r="AT22" s="1357"/>
      <c r="AU22" s="1357"/>
      <c r="AV22" s="1357"/>
      <c r="AW22" s="1357"/>
      <c r="AX22" s="1357"/>
      <c r="AY22" s="1357"/>
      <c r="AZ22" s="1357"/>
      <c r="BA22" s="1357"/>
      <c r="BB22" s="1357"/>
      <c r="BC22" s="1357"/>
      <c r="BD22" s="1357"/>
      <c r="BE22" s="1357"/>
      <c r="BF22" s="1357"/>
      <c r="BG22" s="1357"/>
      <c r="BH22" s="1357"/>
      <c r="BI22" s="1357"/>
      <c r="BJ22" s="1357"/>
      <c r="BK22" s="1357"/>
      <c r="BL22" s="1357"/>
      <c r="BM22" s="1357"/>
      <c r="BN22" s="1357"/>
      <c r="BO22" s="1357"/>
      <c r="BP22" s="1357"/>
      <c r="BQ22" s="1357"/>
      <c r="BR22" s="1357"/>
      <c r="BS22" s="1357"/>
      <c r="BT22" s="1357"/>
      <c r="BU22" s="1357"/>
      <c r="BV22" s="1357"/>
      <c r="BW22" s="1357"/>
      <c r="BX22" s="1357"/>
      <c r="BY22" s="1357"/>
      <c r="BZ22" s="1357"/>
      <c r="CA22" s="1357"/>
      <c r="CB22" s="1357"/>
      <c r="CC22" s="1357"/>
      <c r="CD22" s="1357"/>
      <c r="CE22" s="1357"/>
      <c r="CF22" s="1357"/>
      <c r="CG22" s="1357"/>
      <c r="CH22" s="1357"/>
      <c r="CI22" s="1357"/>
      <c r="CJ22" s="1357"/>
      <c r="CK22" s="1357"/>
      <c r="CL22" s="1357"/>
      <c r="CM22" s="1357"/>
      <c r="CN22" s="1357"/>
      <c r="CO22" s="1357"/>
      <c r="CP22" s="1357"/>
      <c r="CQ22" s="1357"/>
      <c r="CR22" s="1357"/>
      <c r="CS22" s="1357"/>
      <c r="CT22" s="1357"/>
      <c r="CU22" s="1357"/>
      <c r="CV22" s="1357"/>
      <c r="CW22" s="1357"/>
      <c r="CX22" s="1357"/>
      <c r="CY22" s="1357"/>
      <c r="CZ22" s="1357"/>
      <c r="DA22" s="1357"/>
      <c r="DB22" s="1357"/>
      <c r="DC22" s="1357"/>
      <c r="DD22" s="1357"/>
      <c r="DE22" s="1357"/>
      <c r="DF22" s="1357"/>
      <c r="DG22" s="1357"/>
      <c r="DH22" s="1357"/>
      <c r="DI22" s="1357"/>
      <c r="DJ22" s="1357"/>
      <c r="DK22" s="1357"/>
      <c r="DL22" s="1357"/>
      <c r="DM22" s="1357"/>
      <c r="DN22" s="1357"/>
      <c r="DO22" s="1357"/>
      <c r="DP22" s="1357"/>
      <c r="DQ22" s="1357"/>
      <c r="DR22" s="1357"/>
      <c r="DS22" s="1357"/>
      <c r="DT22" s="1357"/>
      <c r="DU22" s="1357"/>
      <c r="DV22" s="1357"/>
      <c r="DW22" s="1357"/>
      <c r="DX22" s="1357"/>
      <c r="DY22" s="1357"/>
      <c r="DZ22" s="1357"/>
      <c r="EA22" s="1357"/>
      <c r="EB22" s="1357"/>
      <c r="EC22" s="1357"/>
      <c r="ED22" s="1357"/>
      <c r="EE22" s="1357"/>
      <c r="EF22" s="1357"/>
      <c r="EG22" s="1357"/>
      <c r="EH22" s="1357"/>
      <c r="EI22" s="1357"/>
      <c r="EJ22" s="1357"/>
      <c r="EK22" s="1357"/>
      <c r="EL22" s="1357"/>
      <c r="EM22" s="1357"/>
      <c r="EN22" s="1357"/>
      <c r="EO22" s="1357"/>
      <c r="EP22" s="1357"/>
      <c r="EQ22" s="1357"/>
      <c r="ER22" s="1357"/>
      <c r="ES22" s="1357"/>
      <c r="ET22" s="1357"/>
      <c r="EU22" s="1357"/>
      <c r="EV22" s="1357"/>
      <c r="EW22" s="1357"/>
      <c r="EX22" s="1357"/>
      <c r="EY22" s="1357"/>
      <c r="EZ22" s="1357"/>
      <c r="FA22" s="1357"/>
      <c r="FB22" s="1357"/>
      <c r="FC22" s="1357"/>
      <c r="FD22" s="1357"/>
      <c r="FE22" s="1357"/>
      <c r="FF22" s="1357"/>
      <c r="FG22" s="1357"/>
      <c r="FH22" s="1357"/>
      <c r="FI22" s="1357"/>
      <c r="FJ22" s="1357"/>
      <c r="FK22" s="1357"/>
      <c r="FL22" s="1357"/>
      <c r="FM22" s="1357"/>
      <c r="FN22" s="1357"/>
      <c r="FO22" s="1357"/>
      <c r="FP22" s="1357"/>
      <c r="FQ22" s="1357"/>
      <c r="FR22" s="1357"/>
      <c r="FS22" s="1357"/>
      <c r="FT22" s="1357"/>
      <c r="FU22" s="1357"/>
      <c r="FV22" s="1357"/>
      <c r="FW22" s="1357"/>
      <c r="FX22" s="1357"/>
      <c r="FY22" s="1357"/>
      <c r="FZ22" s="1357"/>
      <c r="GA22" s="1357"/>
      <c r="GB22" s="1357"/>
      <c r="GC22" s="1357"/>
      <c r="GD22" s="1357"/>
      <c r="GE22" s="1357"/>
      <c r="GF22" s="1357"/>
      <c r="GG22" s="1357"/>
      <c r="GH22" s="1357"/>
      <c r="GI22" s="1357"/>
      <c r="GJ22" s="1357"/>
      <c r="GK22" s="1357"/>
      <c r="GL22" s="1357"/>
      <c r="GM22" s="1357"/>
      <c r="GN22" s="1357"/>
      <c r="GO22" s="1357"/>
      <c r="GP22" s="1357"/>
      <c r="GQ22" s="1357"/>
      <c r="GR22" s="1357"/>
      <c r="GS22" s="1357"/>
      <c r="GT22" s="1357"/>
      <c r="GU22" s="1357"/>
      <c r="GV22" s="1357"/>
      <c r="GW22" s="1357"/>
      <c r="GX22" s="1357"/>
      <c r="GY22" s="1357"/>
      <c r="GZ22" s="1357"/>
      <c r="HA22" s="1357"/>
      <c r="HB22" s="1357"/>
      <c r="HC22" s="1357"/>
      <c r="HD22" s="1357"/>
      <c r="HE22" s="1357"/>
      <c r="HF22" s="1357"/>
      <c r="HG22" s="1357"/>
      <c r="HH22" s="1357"/>
      <c r="HI22" s="1357"/>
      <c r="HJ22" s="1357"/>
      <c r="HK22" s="1357"/>
      <c r="HL22" s="1357"/>
      <c r="HM22" s="1357"/>
      <c r="HN22" s="1357"/>
      <c r="HO22" s="1357"/>
      <c r="HP22" s="1357"/>
      <c r="HQ22" s="1357"/>
      <c r="HR22" s="1357"/>
      <c r="HS22" s="1357"/>
      <c r="HT22" s="1357"/>
      <c r="HU22" s="1357"/>
      <c r="HV22" s="1357"/>
      <c r="HW22" s="1357"/>
      <c r="HX22" s="1357"/>
      <c r="HY22" s="1357"/>
      <c r="HZ22" s="1357"/>
      <c r="IA22" s="1357"/>
      <c r="IB22" s="1357"/>
      <c r="IC22" s="1357"/>
      <c r="ID22" s="1357"/>
      <c r="IE22" s="1357"/>
      <c r="IF22" s="1357"/>
      <c r="IG22" s="1357"/>
      <c r="IH22" s="1357"/>
      <c r="II22" s="1357"/>
      <c r="IJ22" s="1357"/>
      <c r="IK22" s="1357"/>
      <c r="IL22" s="1357"/>
      <c r="IM22" s="1357"/>
      <c r="IN22" s="1357"/>
      <c r="IO22" s="1357"/>
      <c r="IP22" s="1357"/>
      <c r="IQ22" s="1357"/>
      <c r="IR22" s="1357"/>
      <c r="IS22" s="1357"/>
      <c r="IT22" s="1357"/>
      <c r="IU22" s="1357"/>
      <c r="IV22" s="1357"/>
    </row>
    <row r="23" spans="1:256">
      <c r="A23" s="1361">
        <f t="shared" si="2"/>
        <v>10</v>
      </c>
      <c r="B23" s="1358" t="s">
        <v>325</v>
      </c>
      <c r="C23" s="829">
        <f t="shared" si="3"/>
        <v>0</v>
      </c>
      <c r="D23" s="829">
        <f t="shared" si="5"/>
        <v>0</v>
      </c>
      <c r="E23" s="1358">
        <v>31</v>
      </c>
      <c r="F23" s="711">
        <v>215</v>
      </c>
      <c r="G23" s="1369">
        <f t="shared" si="0"/>
        <v>0.58904109589041098</v>
      </c>
      <c r="H23" s="829">
        <f t="shared" si="1"/>
        <v>0</v>
      </c>
      <c r="I23" s="829">
        <f>I22+H23</f>
        <v>0</v>
      </c>
      <c r="J23" s="1357"/>
      <c r="K23" s="1357"/>
      <c r="L23" s="1357"/>
      <c r="M23" s="1357"/>
      <c r="N23" s="1357"/>
      <c r="O23" s="1357"/>
      <c r="P23" s="1357"/>
      <c r="Q23" s="1357"/>
      <c r="R23" s="1357"/>
      <c r="S23" s="1357"/>
      <c r="T23" s="1357"/>
      <c r="U23" s="1357"/>
      <c r="V23" s="1357"/>
      <c r="W23" s="1357"/>
      <c r="X23" s="1357"/>
      <c r="Y23" s="1357"/>
      <c r="Z23" s="1357"/>
      <c r="AA23" s="1357"/>
      <c r="AB23" s="1357"/>
      <c r="AC23" s="1357"/>
      <c r="AD23" s="1357"/>
      <c r="AE23" s="1357"/>
      <c r="AF23" s="1357"/>
      <c r="AG23" s="1357"/>
      <c r="AH23" s="1357"/>
      <c r="AI23" s="1357"/>
      <c r="AJ23" s="1357"/>
      <c r="AK23" s="1357"/>
      <c r="AL23" s="1357"/>
      <c r="AM23" s="1357"/>
      <c r="AN23" s="1357"/>
      <c r="AO23" s="1357"/>
      <c r="AP23" s="1357"/>
      <c r="AQ23" s="1357"/>
      <c r="AR23" s="1357"/>
      <c r="AS23" s="1357"/>
      <c r="AT23" s="1357"/>
      <c r="AU23" s="1357"/>
      <c r="AV23" s="1357"/>
      <c r="AW23" s="1357"/>
      <c r="AX23" s="1357"/>
      <c r="AY23" s="1357"/>
      <c r="AZ23" s="1357"/>
      <c r="BA23" s="1357"/>
      <c r="BB23" s="1357"/>
      <c r="BC23" s="1357"/>
      <c r="BD23" s="1357"/>
      <c r="BE23" s="1357"/>
      <c r="BF23" s="1357"/>
      <c r="BG23" s="1357"/>
      <c r="BH23" s="1357"/>
      <c r="BI23" s="1357"/>
      <c r="BJ23" s="1357"/>
      <c r="BK23" s="1357"/>
      <c r="BL23" s="1357"/>
      <c r="BM23" s="1357"/>
      <c r="BN23" s="1357"/>
      <c r="BO23" s="1357"/>
      <c r="BP23" s="1357"/>
      <c r="BQ23" s="1357"/>
      <c r="BR23" s="1357"/>
      <c r="BS23" s="1357"/>
      <c r="BT23" s="1357"/>
      <c r="BU23" s="1357"/>
      <c r="BV23" s="1357"/>
      <c r="BW23" s="1357"/>
      <c r="BX23" s="1357"/>
      <c r="BY23" s="1357"/>
      <c r="BZ23" s="1357"/>
      <c r="CA23" s="1357"/>
      <c r="CB23" s="1357"/>
      <c r="CC23" s="1357"/>
      <c r="CD23" s="1357"/>
      <c r="CE23" s="1357"/>
      <c r="CF23" s="1357"/>
      <c r="CG23" s="1357"/>
      <c r="CH23" s="1357"/>
      <c r="CI23" s="1357"/>
      <c r="CJ23" s="1357"/>
      <c r="CK23" s="1357"/>
      <c r="CL23" s="1357"/>
      <c r="CM23" s="1357"/>
      <c r="CN23" s="1357"/>
      <c r="CO23" s="1357"/>
      <c r="CP23" s="1357"/>
      <c r="CQ23" s="1357"/>
      <c r="CR23" s="1357"/>
      <c r="CS23" s="1357"/>
      <c r="CT23" s="1357"/>
      <c r="CU23" s="1357"/>
      <c r="CV23" s="1357"/>
      <c r="CW23" s="1357"/>
      <c r="CX23" s="1357"/>
      <c r="CY23" s="1357"/>
      <c r="CZ23" s="1357"/>
      <c r="DA23" s="1357"/>
      <c r="DB23" s="1357"/>
      <c r="DC23" s="1357"/>
      <c r="DD23" s="1357"/>
      <c r="DE23" s="1357"/>
      <c r="DF23" s="1357"/>
      <c r="DG23" s="1357"/>
      <c r="DH23" s="1357"/>
      <c r="DI23" s="1357"/>
      <c r="DJ23" s="1357"/>
      <c r="DK23" s="1357"/>
      <c r="DL23" s="1357"/>
      <c r="DM23" s="1357"/>
      <c r="DN23" s="1357"/>
      <c r="DO23" s="1357"/>
      <c r="DP23" s="1357"/>
      <c r="DQ23" s="1357"/>
      <c r="DR23" s="1357"/>
      <c r="DS23" s="1357"/>
      <c r="DT23" s="1357"/>
      <c r="DU23" s="1357"/>
      <c r="DV23" s="1357"/>
      <c r="DW23" s="1357"/>
      <c r="DX23" s="1357"/>
      <c r="DY23" s="1357"/>
      <c r="DZ23" s="1357"/>
      <c r="EA23" s="1357"/>
      <c r="EB23" s="1357"/>
      <c r="EC23" s="1357"/>
      <c r="ED23" s="1357"/>
      <c r="EE23" s="1357"/>
      <c r="EF23" s="1357"/>
      <c r="EG23" s="1357"/>
      <c r="EH23" s="1357"/>
      <c r="EI23" s="1357"/>
      <c r="EJ23" s="1357"/>
      <c r="EK23" s="1357"/>
      <c r="EL23" s="1357"/>
      <c r="EM23" s="1357"/>
      <c r="EN23" s="1357"/>
      <c r="EO23" s="1357"/>
      <c r="EP23" s="1357"/>
      <c r="EQ23" s="1357"/>
      <c r="ER23" s="1357"/>
      <c r="ES23" s="1357"/>
      <c r="ET23" s="1357"/>
      <c r="EU23" s="1357"/>
      <c r="EV23" s="1357"/>
      <c r="EW23" s="1357"/>
      <c r="EX23" s="1357"/>
      <c r="EY23" s="1357"/>
      <c r="EZ23" s="1357"/>
      <c r="FA23" s="1357"/>
      <c r="FB23" s="1357"/>
      <c r="FC23" s="1357"/>
      <c r="FD23" s="1357"/>
      <c r="FE23" s="1357"/>
      <c r="FF23" s="1357"/>
      <c r="FG23" s="1357"/>
      <c r="FH23" s="1357"/>
      <c r="FI23" s="1357"/>
      <c r="FJ23" s="1357"/>
      <c r="FK23" s="1357"/>
      <c r="FL23" s="1357"/>
      <c r="FM23" s="1357"/>
      <c r="FN23" s="1357"/>
      <c r="FO23" s="1357"/>
      <c r="FP23" s="1357"/>
      <c r="FQ23" s="1357"/>
      <c r="FR23" s="1357"/>
      <c r="FS23" s="1357"/>
      <c r="FT23" s="1357"/>
      <c r="FU23" s="1357"/>
      <c r="FV23" s="1357"/>
      <c r="FW23" s="1357"/>
      <c r="FX23" s="1357"/>
      <c r="FY23" s="1357"/>
      <c r="FZ23" s="1357"/>
      <c r="GA23" s="1357"/>
      <c r="GB23" s="1357"/>
      <c r="GC23" s="1357"/>
      <c r="GD23" s="1357"/>
      <c r="GE23" s="1357"/>
      <c r="GF23" s="1357"/>
      <c r="GG23" s="1357"/>
      <c r="GH23" s="1357"/>
      <c r="GI23" s="1357"/>
      <c r="GJ23" s="1357"/>
      <c r="GK23" s="1357"/>
      <c r="GL23" s="1357"/>
      <c r="GM23" s="1357"/>
      <c r="GN23" s="1357"/>
      <c r="GO23" s="1357"/>
      <c r="GP23" s="1357"/>
      <c r="GQ23" s="1357"/>
      <c r="GR23" s="1357"/>
      <c r="GS23" s="1357"/>
      <c r="GT23" s="1357"/>
      <c r="GU23" s="1357"/>
      <c r="GV23" s="1357"/>
      <c r="GW23" s="1357"/>
      <c r="GX23" s="1357"/>
      <c r="GY23" s="1357"/>
      <c r="GZ23" s="1357"/>
      <c r="HA23" s="1357"/>
      <c r="HB23" s="1357"/>
      <c r="HC23" s="1357"/>
      <c r="HD23" s="1357"/>
      <c r="HE23" s="1357"/>
      <c r="HF23" s="1357"/>
      <c r="HG23" s="1357"/>
      <c r="HH23" s="1357"/>
      <c r="HI23" s="1357"/>
      <c r="HJ23" s="1357"/>
      <c r="HK23" s="1357"/>
      <c r="HL23" s="1357"/>
      <c r="HM23" s="1357"/>
      <c r="HN23" s="1357"/>
      <c r="HO23" s="1357"/>
      <c r="HP23" s="1357"/>
      <c r="HQ23" s="1357"/>
      <c r="HR23" s="1357"/>
      <c r="HS23" s="1357"/>
      <c r="HT23" s="1357"/>
      <c r="HU23" s="1357"/>
      <c r="HV23" s="1357"/>
      <c r="HW23" s="1357"/>
      <c r="HX23" s="1357"/>
      <c r="HY23" s="1357"/>
      <c r="HZ23" s="1357"/>
      <c r="IA23" s="1357"/>
      <c r="IB23" s="1357"/>
      <c r="IC23" s="1357"/>
      <c r="ID23" s="1357"/>
      <c r="IE23" s="1357"/>
      <c r="IF23" s="1357"/>
      <c r="IG23" s="1357"/>
      <c r="IH23" s="1357"/>
      <c r="II23" s="1357"/>
      <c r="IJ23" s="1357"/>
      <c r="IK23" s="1357"/>
      <c r="IL23" s="1357"/>
      <c r="IM23" s="1357"/>
      <c r="IN23" s="1357"/>
      <c r="IO23" s="1357"/>
      <c r="IP23" s="1357"/>
      <c r="IQ23" s="1357"/>
      <c r="IR23" s="1357"/>
      <c r="IS23" s="1357"/>
      <c r="IT23" s="1357"/>
      <c r="IU23" s="1357"/>
      <c r="IV23" s="1357"/>
    </row>
    <row r="24" spans="1:256">
      <c r="A24" s="1361">
        <f t="shared" si="2"/>
        <v>11</v>
      </c>
      <c r="B24" s="1358" t="s">
        <v>48</v>
      </c>
      <c r="C24" s="829">
        <f t="shared" si="3"/>
        <v>0</v>
      </c>
      <c r="D24" s="829">
        <f t="shared" si="5"/>
        <v>0</v>
      </c>
      <c r="E24" s="1358">
        <v>30</v>
      </c>
      <c r="F24" s="711">
        <v>185</v>
      </c>
      <c r="G24" s="1369">
        <f t="shared" si="0"/>
        <v>0.50684931506849318</v>
      </c>
      <c r="H24" s="829">
        <f t="shared" si="1"/>
        <v>0</v>
      </c>
      <c r="I24" s="829">
        <f>I23+H24</f>
        <v>0</v>
      </c>
      <c r="J24" s="1357"/>
      <c r="K24" s="1357"/>
      <c r="L24" s="1357"/>
      <c r="M24" s="1357"/>
      <c r="N24" s="1357"/>
      <c r="O24" s="1357"/>
      <c r="P24" s="1357"/>
      <c r="Q24" s="1357"/>
      <c r="R24" s="1357"/>
      <c r="S24" s="1357"/>
      <c r="T24" s="1357"/>
      <c r="U24" s="1357"/>
      <c r="V24" s="1357"/>
      <c r="W24" s="1357"/>
      <c r="X24" s="1357"/>
      <c r="Y24" s="1357"/>
      <c r="Z24" s="1357"/>
      <c r="AA24" s="1357"/>
      <c r="AB24" s="1357"/>
      <c r="AC24" s="1357"/>
      <c r="AD24" s="1357"/>
      <c r="AE24" s="1357"/>
      <c r="AF24" s="1357"/>
      <c r="AG24" s="1357"/>
      <c r="AH24" s="1357"/>
      <c r="AI24" s="1357"/>
      <c r="AJ24" s="1357"/>
      <c r="AK24" s="1357"/>
      <c r="AL24" s="1357"/>
      <c r="AM24" s="1357"/>
      <c r="AN24" s="1357"/>
      <c r="AO24" s="1357"/>
      <c r="AP24" s="1357"/>
      <c r="AQ24" s="1357"/>
      <c r="AR24" s="1357"/>
      <c r="AS24" s="1357"/>
      <c r="AT24" s="1357"/>
      <c r="AU24" s="1357"/>
      <c r="AV24" s="1357"/>
      <c r="AW24" s="1357"/>
      <c r="AX24" s="1357"/>
      <c r="AY24" s="1357"/>
      <c r="AZ24" s="1357"/>
      <c r="BA24" s="1357"/>
      <c r="BB24" s="1357"/>
      <c r="BC24" s="1357"/>
      <c r="BD24" s="1357"/>
      <c r="BE24" s="1357"/>
      <c r="BF24" s="1357"/>
      <c r="BG24" s="1357"/>
      <c r="BH24" s="1357"/>
      <c r="BI24" s="1357"/>
      <c r="BJ24" s="1357"/>
      <c r="BK24" s="1357"/>
      <c r="BL24" s="1357"/>
      <c r="BM24" s="1357"/>
      <c r="BN24" s="1357"/>
      <c r="BO24" s="1357"/>
      <c r="BP24" s="1357"/>
      <c r="BQ24" s="1357"/>
      <c r="BR24" s="1357"/>
      <c r="BS24" s="1357"/>
      <c r="BT24" s="1357"/>
      <c r="BU24" s="1357"/>
      <c r="BV24" s="1357"/>
      <c r="BW24" s="1357"/>
      <c r="BX24" s="1357"/>
      <c r="BY24" s="1357"/>
      <c r="BZ24" s="1357"/>
      <c r="CA24" s="1357"/>
      <c r="CB24" s="1357"/>
      <c r="CC24" s="1357"/>
      <c r="CD24" s="1357"/>
      <c r="CE24" s="1357"/>
      <c r="CF24" s="1357"/>
      <c r="CG24" s="1357"/>
      <c r="CH24" s="1357"/>
      <c r="CI24" s="1357"/>
      <c r="CJ24" s="1357"/>
      <c r="CK24" s="1357"/>
      <c r="CL24" s="1357"/>
      <c r="CM24" s="1357"/>
      <c r="CN24" s="1357"/>
      <c r="CO24" s="1357"/>
      <c r="CP24" s="1357"/>
      <c r="CQ24" s="1357"/>
      <c r="CR24" s="1357"/>
      <c r="CS24" s="1357"/>
      <c r="CT24" s="1357"/>
      <c r="CU24" s="1357"/>
      <c r="CV24" s="1357"/>
      <c r="CW24" s="1357"/>
      <c r="CX24" s="1357"/>
      <c r="CY24" s="1357"/>
      <c r="CZ24" s="1357"/>
      <c r="DA24" s="1357"/>
      <c r="DB24" s="1357"/>
      <c r="DC24" s="1357"/>
      <c r="DD24" s="1357"/>
      <c r="DE24" s="1357"/>
      <c r="DF24" s="1357"/>
      <c r="DG24" s="1357"/>
      <c r="DH24" s="1357"/>
      <c r="DI24" s="1357"/>
      <c r="DJ24" s="1357"/>
      <c r="DK24" s="1357"/>
      <c r="DL24" s="1357"/>
      <c r="DM24" s="1357"/>
      <c r="DN24" s="1357"/>
      <c r="DO24" s="1357"/>
      <c r="DP24" s="1357"/>
      <c r="DQ24" s="1357"/>
      <c r="DR24" s="1357"/>
      <c r="DS24" s="1357"/>
      <c r="DT24" s="1357"/>
      <c r="DU24" s="1357"/>
      <c r="DV24" s="1357"/>
      <c r="DW24" s="1357"/>
      <c r="DX24" s="1357"/>
      <c r="DY24" s="1357"/>
      <c r="DZ24" s="1357"/>
      <c r="EA24" s="1357"/>
      <c r="EB24" s="1357"/>
      <c r="EC24" s="1357"/>
      <c r="ED24" s="1357"/>
      <c r="EE24" s="1357"/>
      <c r="EF24" s="1357"/>
      <c r="EG24" s="1357"/>
      <c r="EH24" s="1357"/>
      <c r="EI24" s="1357"/>
      <c r="EJ24" s="1357"/>
      <c r="EK24" s="1357"/>
      <c r="EL24" s="1357"/>
      <c r="EM24" s="1357"/>
      <c r="EN24" s="1357"/>
      <c r="EO24" s="1357"/>
      <c r="EP24" s="1357"/>
      <c r="EQ24" s="1357"/>
      <c r="ER24" s="1357"/>
      <c r="ES24" s="1357"/>
      <c r="ET24" s="1357"/>
      <c r="EU24" s="1357"/>
      <c r="EV24" s="1357"/>
      <c r="EW24" s="1357"/>
      <c r="EX24" s="1357"/>
      <c r="EY24" s="1357"/>
      <c r="EZ24" s="1357"/>
      <c r="FA24" s="1357"/>
      <c r="FB24" s="1357"/>
      <c r="FC24" s="1357"/>
      <c r="FD24" s="1357"/>
      <c r="FE24" s="1357"/>
      <c r="FF24" s="1357"/>
      <c r="FG24" s="1357"/>
      <c r="FH24" s="1357"/>
      <c r="FI24" s="1357"/>
      <c r="FJ24" s="1357"/>
      <c r="FK24" s="1357"/>
      <c r="FL24" s="1357"/>
      <c r="FM24" s="1357"/>
      <c r="FN24" s="1357"/>
      <c r="FO24" s="1357"/>
      <c r="FP24" s="1357"/>
      <c r="FQ24" s="1357"/>
      <c r="FR24" s="1357"/>
      <c r="FS24" s="1357"/>
      <c r="FT24" s="1357"/>
      <c r="FU24" s="1357"/>
      <c r="FV24" s="1357"/>
      <c r="FW24" s="1357"/>
      <c r="FX24" s="1357"/>
      <c r="FY24" s="1357"/>
      <c r="FZ24" s="1357"/>
      <c r="GA24" s="1357"/>
      <c r="GB24" s="1357"/>
      <c r="GC24" s="1357"/>
      <c r="GD24" s="1357"/>
      <c r="GE24" s="1357"/>
      <c r="GF24" s="1357"/>
      <c r="GG24" s="1357"/>
      <c r="GH24" s="1357"/>
      <c r="GI24" s="1357"/>
      <c r="GJ24" s="1357"/>
      <c r="GK24" s="1357"/>
      <c r="GL24" s="1357"/>
      <c r="GM24" s="1357"/>
      <c r="GN24" s="1357"/>
      <c r="GO24" s="1357"/>
      <c r="GP24" s="1357"/>
      <c r="GQ24" s="1357"/>
      <c r="GR24" s="1357"/>
      <c r="GS24" s="1357"/>
      <c r="GT24" s="1357"/>
      <c r="GU24" s="1357"/>
      <c r="GV24" s="1357"/>
      <c r="GW24" s="1357"/>
      <c r="GX24" s="1357"/>
      <c r="GY24" s="1357"/>
      <c r="GZ24" s="1357"/>
      <c r="HA24" s="1357"/>
      <c r="HB24" s="1357"/>
      <c r="HC24" s="1357"/>
      <c r="HD24" s="1357"/>
      <c r="HE24" s="1357"/>
      <c r="HF24" s="1357"/>
      <c r="HG24" s="1357"/>
      <c r="HH24" s="1357"/>
      <c r="HI24" s="1357"/>
      <c r="HJ24" s="1357"/>
      <c r="HK24" s="1357"/>
      <c r="HL24" s="1357"/>
      <c r="HM24" s="1357"/>
      <c r="HN24" s="1357"/>
      <c r="HO24" s="1357"/>
      <c r="HP24" s="1357"/>
      <c r="HQ24" s="1357"/>
      <c r="HR24" s="1357"/>
      <c r="HS24" s="1357"/>
      <c r="HT24" s="1357"/>
      <c r="HU24" s="1357"/>
      <c r="HV24" s="1357"/>
      <c r="HW24" s="1357"/>
      <c r="HX24" s="1357"/>
      <c r="HY24" s="1357"/>
      <c r="HZ24" s="1357"/>
      <c r="IA24" s="1357"/>
      <c r="IB24" s="1357"/>
      <c r="IC24" s="1357"/>
      <c r="ID24" s="1357"/>
      <c r="IE24" s="1357"/>
      <c r="IF24" s="1357"/>
      <c r="IG24" s="1357"/>
      <c r="IH24" s="1357"/>
      <c r="II24" s="1357"/>
      <c r="IJ24" s="1357"/>
      <c r="IK24" s="1357"/>
      <c r="IL24" s="1357"/>
      <c r="IM24" s="1357"/>
      <c r="IN24" s="1357"/>
      <c r="IO24" s="1357"/>
      <c r="IP24" s="1357"/>
      <c r="IQ24" s="1357"/>
      <c r="IR24" s="1357"/>
      <c r="IS24" s="1357"/>
      <c r="IT24" s="1357"/>
      <c r="IU24" s="1357"/>
      <c r="IV24" s="1357"/>
    </row>
    <row r="25" spans="1:256">
      <c r="A25" s="1361">
        <f t="shared" si="2"/>
        <v>12</v>
      </c>
      <c r="B25" s="1358" t="s">
        <v>326</v>
      </c>
      <c r="C25" s="829">
        <f t="shared" si="3"/>
        <v>0</v>
      </c>
      <c r="D25" s="829">
        <f t="shared" si="5"/>
        <v>0</v>
      </c>
      <c r="E25" s="1358">
        <v>31</v>
      </c>
      <c r="F25" s="711">
        <v>154</v>
      </c>
      <c r="G25" s="1369">
        <f t="shared" si="0"/>
        <v>0.42191780821917807</v>
      </c>
      <c r="H25" s="829">
        <f t="shared" si="1"/>
        <v>0</v>
      </c>
      <c r="I25" s="829">
        <f t="shared" si="4"/>
        <v>0</v>
      </c>
      <c r="J25" s="1357"/>
      <c r="K25" s="1357"/>
      <c r="L25" s="1357"/>
      <c r="M25" s="1357"/>
      <c r="N25" s="1357"/>
      <c r="O25" s="1357"/>
      <c r="P25" s="1357"/>
      <c r="Q25" s="1357"/>
      <c r="R25" s="1357"/>
      <c r="S25" s="1357"/>
      <c r="T25" s="1357"/>
      <c r="U25" s="1357"/>
      <c r="V25" s="1357"/>
      <c r="W25" s="1357"/>
      <c r="X25" s="1357"/>
      <c r="Y25" s="1357"/>
      <c r="Z25" s="1357"/>
      <c r="AA25" s="1357"/>
      <c r="AB25" s="1357"/>
      <c r="AC25" s="1357"/>
      <c r="AD25" s="1357"/>
      <c r="AE25" s="1357"/>
      <c r="AF25" s="1357"/>
      <c r="AG25" s="1357"/>
      <c r="AH25" s="1357"/>
      <c r="AI25" s="1357"/>
      <c r="AJ25" s="1357"/>
      <c r="AK25" s="1357"/>
      <c r="AL25" s="1357"/>
      <c r="AM25" s="1357"/>
      <c r="AN25" s="1357"/>
      <c r="AO25" s="1357"/>
      <c r="AP25" s="1357"/>
      <c r="AQ25" s="1357"/>
      <c r="AR25" s="1357"/>
      <c r="AS25" s="1357"/>
      <c r="AT25" s="1357"/>
      <c r="AU25" s="1357"/>
      <c r="AV25" s="1357"/>
      <c r="AW25" s="1357"/>
      <c r="AX25" s="1357"/>
      <c r="AY25" s="1357"/>
      <c r="AZ25" s="1357"/>
      <c r="BA25" s="1357"/>
      <c r="BB25" s="1357"/>
      <c r="BC25" s="1357"/>
      <c r="BD25" s="1357"/>
      <c r="BE25" s="1357"/>
      <c r="BF25" s="1357"/>
      <c r="BG25" s="1357"/>
      <c r="BH25" s="1357"/>
      <c r="BI25" s="1357"/>
      <c r="BJ25" s="1357"/>
      <c r="BK25" s="1357"/>
      <c r="BL25" s="1357"/>
      <c r="BM25" s="1357"/>
      <c r="BN25" s="1357"/>
      <c r="BO25" s="1357"/>
      <c r="BP25" s="1357"/>
      <c r="BQ25" s="1357"/>
      <c r="BR25" s="1357"/>
      <c r="BS25" s="1357"/>
      <c r="BT25" s="1357"/>
      <c r="BU25" s="1357"/>
      <c r="BV25" s="1357"/>
      <c r="BW25" s="1357"/>
      <c r="BX25" s="1357"/>
      <c r="BY25" s="1357"/>
      <c r="BZ25" s="1357"/>
      <c r="CA25" s="1357"/>
      <c r="CB25" s="1357"/>
      <c r="CC25" s="1357"/>
      <c r="CD25" s="1357"/>
      <c r="CE25" s="1357"/>
      <c r="CF25" s="1357"/>
      <c r="CG25" s="1357"/>
      <c r="CH25" s="1357"/>
      <c r="CI25" s="1357"/>
      <c r="CJ25" s="1357"/>
      <c r="CK25" s="1357"/>
      <c r="CL25" s="1357"/>
      <c r="CM25" s="1357"/>
      <c r="CN25" s="1357"/>
      <c r="CO25" s="1357"/>
      <c r="CP25" s="1357"/>
      <c r="CQ25" s="1357"/>
      <c r="CR25" s="1357"/>
      <c r="CS25" s="1357"/>
      <c r="CT25" s="1357"/>
      <c r="CU25" s="1357"/>
      <c r="CV25" s="1357"/>
      <c r="CW25" s="1357"/>
      <c r="CX25" s="1357"/>
      <c r="CY25" s="1357"/>
      <c r="CZ25" s="1357"/>
      <c r="DA25" s="1357"/>
      <c r="DB25" s="1357"/>
      <c r="DC25" s="1357"/>
      <c r="DD25" s="1357"/>
      <c r="DE25" s="1357"/>
      <c r="DF25" s="1357"/>
      <c r="DG25" s="1357"/>
      <c r="DH25" s="1357"/>
      <c r="DI25" s="1357"/>
      <c r="DJ25" s="1357"/>
      <c r="DK25" s="1357"/>
      <c r="DL25" s="1357"/>
      <c r="DM25" s="1357"/>
      <c r="DN25" s="1357"/>
      <c r="DO25" s="1357"/>
      <c r="DP25" s="1357"/>
      <c r="DQ25" s="1357"/>
      <c r="DR25" s="1357"/>
      <c r="DS25" s="1357"/>
      <c r="DT25" s="1357"/>
      <c r="DU25" s="1357"/>
      <c r="DV25" s="1357"/>
      <c r="DW25" s="1357"/>
      <c r="DX25" s="1357"/>
      <c r="DY25" s="1357"/>
      <c r="DZ25" s="1357"/>
      <c r="EA25" s="1357"/>
      <c r="EB25" s="1357"/>
      <c r="EC25" s="1357"/>
      <c r="ED25" s="1357"/>
      <c r="EE25" s="1357"/>
      <c r="EF25" s="1357"/>
      <c r="EG25" s="1357"/>
      <c r="EH25" s="1357"/>
      <c r="EI25" s="1357"/>
      <c r="EJ25" s="1357"/>
      <c r="EK25" s="1357"/>
      <c r="EL25" s="1357"/>
      <c r="EM25" s="1357"/>
      <c r="EN25" s="1357"/>
      <c r="EO25" s="1357"/>
      <c r="EP25" s="1357"/>
      <c r="EQ25" s="1357"/>
      <c r="ER25" s="1357"/>
      <c r="ES25" s="1357"/>
      <c r="ET25" s="1357"/>
      <c r="EU25" s="1357"/>
      <c r="EV25" s="1357"/>
      <c r="EW25" s="1357"/>
      <c r="EX25" s="1357"/>
      <c r="EY25" s="1357"/>
      <c r="EZ25" s="1357"/>
      <c r="FA25" s="1357"/>
      <c r="FB25" s="1357"/>
      <c r="FC25" s="1357"/>
      <c r="FD25" s="1357"/>
      <c r="FE25" s="1357"/>
      <c r="FF25" s="1357"/>
      <c r="FG25" s="1357"/>
      <c r="FH25" s="1357"/>
      <c r="FI25" s="1357"/>
      <c r="FJ25" s="1357"/>
      <c r="FK25" s="1357"/>
      <c r="FL25" s="1357"/>
      <c r="FM25" s="1357"/>
      <c r="FN25" s="1357"/>
      <c r="FO25" s="1357"/>
      <c r="FP25" s="1357"/>
      <c r="FQ25" s="1357"/>
      <c r="FR25" s="1357"/>
      <c r="FS25" s="1357"/>
      <c r="FT25" s="1357"/>
      <c r="FU25" s="1357"/>
      <c r="FV25" s="1357"/>
      <c r="FW25" s="1357"/>
      <c r="FX25" s="1357"/>
      <c r="FY25" s="1357"/>
      <c r="FZ25" s="1357"/>
      <c r="GA25" s="1357"/>
      <c r="GB25" s="1357"/>
      <c r="GC25" s="1357"/>
      <c r="GD25" s="1357"/>
      <c r="GE25" s="1357"/>
      <c r="GF25" s="1357"/>
      <c r="GG25" s="1357"/>
      <c r="GH25" s="1357"/>
      <c r="GI25" s="1357"/>
      <c r="GJ25" s="1357"/>
      <c r="GK25" s="1357"/>
      <c r="GL25" s="1357"/>
      <c r="GM25" s="1357"/>
      <c r="GN25" s="1357"/>
      <c r="GO25" s="1357"/>
      <c r="GP25" s="1357"/>
      <c r="GQ25" s="1357"/>
      <c r="GR25" s="1357"/>
      <c r="GS25" s="1357"/>
      <c r="GT25" s="1357"/>
      <c r="GU25" s="1357"/>
      <c r="GV25" s="1357"/>
      <c r="GW25" s="1357"/>
      <c r="GX25" s="1357"/>
      <c r="GY25" s="1357"/>
      <c r="GZ25" s="1357"/>
      <c r="HA25" s="1357"/>
      <c r="HB25" s="1357"/>
      <c r="HC25" s="1357"/>
      <c r="HD25" s="1357"/>
      <c r="HE25" s="1357"/>
      <c r="HF25" s="1357"/>
      <c r="HG25" s="1357"/>
      <c r="HH25" s="1357"/>
      <c r="HI25" s="1357"/>
      <c r="HJ25" s="1357"/>
      <c r="HK25" s="1357"/>
      <c r="HL25" s="1357"/>
      <c r="HM25" s="1357"/>
      <c r="HN25" s="1357"/>
      <c r="HO25" s="1357"/>
      <c r="HP25" s="1357"/>
      <c r="HQ25" s="1357"/>
      <c r="HR25" s="1357"/>
      <c r="HS25" s="1357"/>
      <c r="HT25" s="1357"/>
      <c r="HU25" s="1357"/>
      <c r="HV25" s="1357"/>
      <c r="HW25" s="1357"/>
      <c r="HX25" s="1357"/>
      <c r="HY25" s="1357"/>
      <c r="HZ25" s="1357"/>
      <c r="IA25" s="1357"/>
      <c r="IB25" s="1357"/>
      <c r="IC25" s="1357"/>
      <c r="ID25" s="1357"/>
      <c r="IE25" s="1357"/>
      <c r="IF25" s="1357"/>
      <c r="IG25" s="1357"/>
      <c r="IH25" s="1357"/>
      <c r="II25" s="1357"/>
      <c r="IJ25" s="1357"/>
      <c r="IK25" s="1357"/>
      <c r="IL25" s="1357"/>
      <c r="IM25" s="1357"/>
      <c r="IN25" s="1357"/>
      <c r="IO25" s="1357"/>
      <c r="IP25" s="1357"/>
      <c r="IQ25" s="1357"/>
      <c r="IR25" s="1357"/>
      <c r="IS25" s="1357"/>
      <c r="IT25" s="1357"/>
      <c r="IU25" s="1357"/>
      <c r="IV25" s="1357"/>
    </row>
    <row r="26" spans="1:256">
      <c r="A26" s="1361">
        <f t="shared" si="2"/>
        <v>13</v>
      </c>
      <c r="B26" s="1358" t="s">
        <v>327</v>
      </c>
      <c r="C26" s="829">
        <f t="shared" si="3"/>
        <v>0</v>
      </c>
      <c r="D26" s="829">
        <f t="shared" si="5"/>
        <v>0</v>
      </c>
      <c r="E26" s="1358">
        <v>31</v>
      </c>
      <c r="F26" s="711">
        <v>123</v>
      </c>
      <c r="G26" s="1369">
        <f t="shared" si="0"/>
        <v>0.33698630136986302</v>
      </c>
      <c r="H26" s="829">
        <f t="shared" si="1"/>
        <v>0</v>
      </c>
      <c r="I26" s="829">
        <f t="shared" si="4"/>
        <v>0</v>
      </c>
      <c r="J26" s="1357"/>
      <c r="K26" s="1357"/>
      <c r="L26" s="1357"/>
      <c r="M26" s="1357"/>
      <c r="N26" s="1357"/>
      <c r="O26" s="1357"/>
      <c r="P26" s="1357"/>
      <c r="Q26" s="1357"/>
      <c r="R26" s="1357"/>
      <c r="S26" s="1357"/>
      <c r="T26" s="1357"/>
      <c r="U26" s="1357"/>
      <c r="V26" s="1357"/>
      <c r="W26" s="1357"/>
      <c r="X26" s="1357"/>
      <c r="Y26" s="1357"/>
      <c r="Z26" s="1357"/>
      <c r="AA26" s="1357"/>
      <c r="AB26" s="1357"/>
      <c r="AC26" s="1357"/>
      <c r="AD26" s="1357"/>
      <c r="AE26" s="1357"/>
      <c r="AF26" s="1357"/>
      <c r="AG26" s="1357"/>
      <c r="AH26" s="1357"/>
      <c r="AI26" s="1357"/>
      <c r="AJ26" s="1357"/>
      <c r="AK26" s="1357"/>
      <c r="AL26" s="1357"/>
      <c r="AM26" s="1357"/>
      <c r="AN26" s="1357"/>
      <c r="AO26" s="1357"/>
      <c r="AP26" s="1357"/>
      <c r="AQ26" s="1357"/>
      <c r="AR26" s="1357"/>
      <c r="AS26" s="1357"/>
      <c r="AT26" s="1357"/>
      <c r="AU26" s="1357"/>
      <c r="AV26" s="1357"/>
      <c r="AW26" s="1357"/>
      <c r="AX26" s="1357"/>
      <c r="AY26" s="1357"/>
      <c r="AZ26" s="1357"/>
      <c r="BA26" s="1357"/>
      <c r="BB26" s="1357"/>
      <c r="BC26" s="1357"/>
      <c r="BD26" s="1357"/>
      <c r="BE26" s="1357"/>
      <c r="BF26" s="1357"/>
      <c r="BG26" s="1357"/>
      <c r="BH26" s="1357"/>
      <c r="BI26" s="1357"/>
      <c r="BJ26" s="1357"/>
      <c r="BK26" s="1357"/>
      <c r="BL26" s="1357"/>
      <c r="BM26" s="1357"/>
      <c r="BN26" s="1357"/>
      <c r="BO26" s="1357"/>
      <c r="BP26" s="1357"/>
      <c r="BQ26" s="1357"/>
      <c r="BR26" s="1357"/>
      <c r="BS26" s="1357"/>
      <c r="BT26" s="1357"/>
      <c r="BU26" s="1357"/>
      <c r="BV26" s="1357"/>
      <c r="BW26" s="1357"/>
      <c r="BX26" s="1357"/>
      <c r="BY26" s="1357"/>
      <c r="BZ26" s="1357"/>
      <c r="CA26" s="1357"/>
      <c r="CB26" s="1357"/>
      <c r="CC26" s="1357"/>
      <c r="CD26" s="1357"/>
      <c r="CE26" s="1357"/>
      <c r="CF26" s="1357"/>
      <c r="CG26" s="1357"/>
      <c r="CH26" s="1357"/>
      <c r="CI26" s="1357"/>
      <c r="CJ26" s="1357"/>
      <c r="CK26" s="1357"/>
      <c r="CL26" s="1357"/>
      <c r="CM26" s="1357"/>
      <c r="CN26" s="1357"/>
      <c r="CO26" s="1357"/>
      <c r="CP26" s="1357"/>
      <c r="CQ26" s="1357"/>
      <c r="CR26" s="1357"/>
      <c r="CS26" s="1357"/>
      <c r="CT26" s="1357"/>
      <c r="CU26" s="1357"/>
      <c r="CV26" s="1357"/>
      <c r="CW26" s="1357"/>
      <c r="CX26" s="1357"/>
      <c r="CY26" s="1357"/>
      <c r="CZ26" s="1357"/>
      <c r="DA26" s="1357"/>
      <c r="DB26" s="1357"/>
      <c r="DC26" s="1357"/>
      <c r="DD26" s="1357"/>
      <c r="DE26" s="1357"/>
      <c r="DF26" s="1357"/>
      <c r="DG26" s="1357"/>
      <c r="DH26" s="1357"/>
      <c r="DI26" s="1357"/>
      <c r="DJ26" s="1357"/>
      <c r="DK26" s="1357"/>
      <c r="DL26" s="1357"/>
      <c r="DM26" s="1357"/>
      <c r="DN26" s="1357"/>
      <c r="DO26" s="1357"/>
      <c r="DP26" s="1357"/>
      <c r="DQ26" s="1357"/>
      <c r="DR26" s="1357"/>
      <c r="DS26" s="1357"/>
      <c r="DT26" s="1357"/>
      <c r="DU26" s="1357"/>
      <c r="DV26" s="1357"/>
      <c r="DW26" s="1357"/>
      <c r="DX26" s="1357"/>
      <c r="DY26" s="1357"/>
      <c r="DZ26" s="1357"/>
      <c r="EA26" s="1357"/>
      <c r="EB26" s="1357"/>
      <c r="EC26" s="1357"/>
      <c r="ED26" s="1357"/>
      <c r="EE26" s="1357"/>
      <c r="EF26" s="1357"/>
      <c r="EG26" s="1357"/>
      <c r="EH26" s="1357"/>
      <c r="EI26" s="1357"/>
      <c r="EJ26" s="1357"/>
      <c r="EK26" s="1357"/>
      <c r="EL26" s="1357"/>
      <c r="EM26" s="1357"/>
      <c r="EN26" s="1357"/>
      <c r="EO26" s="1357"/>
      <c r="EP26" s="1357"/>
      <c r="EQ26" s="1357"/>
      <c r="ER26" s="1357"/>
      <c r="ES26" s="1357"/>
      <c r="ET26" s="1357"/>
      <c r="EU26" s="1357"/>
      <c r="EV26" s="1357"/>
      <c r="EW26" s="1357"/>
      <c r="EX26" s="1357"/>
      <c r="EY26" s="1357"/>
      <c r="EZ26" s="1357"/>
      <c r="FA26" s="1357"/>
      <c r="FB26" s="1357"/>
      <c r="FC26" s="1357"/>
      <c r="FD26" s="1357"/>
      <c r="FE26" s="1357"/>
      <c r="FF26" s="1357"/>
      <c r="FG26" s="1357"/>
      <c r="FH26" s="1357"/>
      <c r="FI26" s="1357"/>
      <c r="FJ26" s="1357"/>
      <c r="FK26" s="1357"/>
      <c r="FL26" s="1357"/>
      <c r="FM26" s="1357"/>
      <c r="FN26" s="1357"/>
      <c r="FO26" s="1357"/>
      <c r="FP26" s="1357"/>
      <c r="FQ26" s="1357"/>
      <c r="FR26" s="1357"/>
      <c r="FS26" s="1357"/>
      <c r="FT26" s="1357"/>
      <c r="FU26" s="1357"/>
      <c r="FV26" s="1357"/>
      <c r="FW26" s="1357"/>
      <c r="FX26" s="1357"/>
      <c r="FY26" s="1357"/>
      <c r="FZ26" s="1357"/>
      <c r="GA26" s="1357"/>
      <c r="GB26" s="1357"/>
      <c r="GC26" s="1357"/>
      <c r="GD26" s="1357"/>
      <c r="GE26" s="1357"/>
      <c r="GF26" s="1357"/>
      <c r="GG26" s="1357"/>
      <c r="GH26" s="1357"/>
      <c r="GI26" s="1357"/>
      <c r="GJ26" s="1357"/>
      <c r="GK26" s="1357"/>
      <c r="GL26" s="1357"/>
      <c r="GM26" s="1357"/>
      <c r="GN26" s="1357"/>
      <c r="GO26" s="1357"/>
      <c r="GP26" s="1357"/>
      <c r="GQ26" s="1357"/>
      <c r="GR26" s="1357"/>
      <c r="GS26" s="1357"/>
      <c r="GT26" s="1357"/>
      <c r="GU26" s="1357"/>
      <c r="GV26" s="1357"/>
      <c r="GW26" s="1357"/>
      <c r="GX26" s="1357"/>
      <c r="GY26" s="1357"/>
      <c r="GZ26" s="1357"/>
      <c r="HA26" s="1357"/>
      <c r="HB26" s="1357"/>
      <c r="HC26" s="1357"/>
      <c r="HD26" s="1357"/>
      <c r="HE26" s="1357"/>
      <c r="HF26" s="1357"/>
      <c r="HG26" s="1357"/>
      <c r="HH26" s="1357"/>
      <c r="HI26" s="1357"/>
      <c r="HJ26" s="1357"/>
      <c r="HK26" s="1357"/>
      <c r="HL26" s="1357"/>
      <c r="HM26" s="1357"/>
      <c r="HN26" s="1357"/>
      <c r="HO26" s="1357"/>
      <c r="HP26" s="1357"/>
      <c r="HQ26" s="1357"/>
      <c r="HR26" s="1357"/>
      <c r="HS26" s="1357"/>
      <c r="HT26" s="1357"/>
      <c r="HU26" s="1357"/>
      <c r="HV26" s="1357"/>
      <c r="HW26" s="1357"/>
      <c r="HX26" s="1357"/>
      <c r="HY26" s="1357"/>
      <c r="HZ26" s="1357"/>
      <c r="IA26" s="1357"/>
      <c r="IB26" s="1357"/>
      <c r="IC26" s="1357"/>
      <c r="ID26" s="1357"/>
      <c r="IE26" s="1357"/>
      <c r="IF26" s="1357"/>
      <c r="IG26" s="1357"/>
      <c r="IH26" s="1357"/>
      <c r="II26" s="1357"/>
      <c r="IJ26" s="1357"/>
      <c r="IK26" s="1357"/>
      <c r="IL26" s="1357"/>
      <c r="IM26" s="1357"/>
      <c r="IN26" s="1357"/>
      <c r="IO26" s="1357"/>
      <c r="IP26" s="1357"/>
      <c r="IQ26" s="1357"/>
      <c r="IR26" s="1357"/>
      <c r="IS26" s="1357"/>
      <c r="IT26" s="1357"/>
      <c r="IU26" s="1357"/>
      <c r="IV26" s="1357"/>
    </row>
    <row r="27" spans="1:256">
      <c r="A27" s="1361">
        <f t="shared" si="2"/>
        <v>14</v>
      </c>
      <c r="B27" s="1358" t="s">
        <v>329</v>
      </c>
      <c r="C27" s="829">
        <f t="shared" si="3"/>
        <v>0</v>
      </c>
      <c r="D27" s="829">
        <f t="shared" si="5"/>
        <v>0</v>
      </c>
      <c r="E27" s="1358">
        <v>30</v>
      </c>
      <c r="F27" s="711">
        <v>93</v>
      </c>
      <c r="G27" s="1369">
        <f t="shared" si="0"/>
        <v>0.25479452054794521</v>
      </c>
      <c r="H27" s="829">
        <f t="shared" si="1"/>
        <v>0</v>
      </c>
      <c r="I27" s="829">
        <f t="shared" si="4"/>
        <v>0</v>
      </c>
      <c r="J27" s="1357"/>
      <c r="K27" s="1357"/>
      <c r="L27" s="1357"/>
      <c r="M27" s="1357"/>
      <c r="N27" s="1357"/>
      <c r="O27" s="1357"/>
      <c r="P27" s="1357"/>
      <c r="Q27" s="1357"/>
      <c r="R27" s="1357"/>
      <c r="S27" s="1357"/>
      <c r="T27" s="1357"/>
      <c r="U27" s="1357"/>
      <c r="V27" s="1357"/>
      <c r="W27" s="1357"/>
      <c r="X27" s="1357"/>
      <c r="Y27" s="1357"/>
      <c r="Z27" s="1357"/>
      <c r="AA27" s="1357"/>
      <c r="AB27" s="1357"/>
      <c r="AC27" s="1357"/>
      <c r="AD27" s="1357"/>
      <c r="AE27" s="1357"/>
      <c r="AF27" s="1357"/>
      <c r="AG27" s="1357"/>
      <c r="AH27" s="1357"/>
      <c r="AI27" s="1357"/>
      <c r="AJ27" s="1357"/>
      <c r="AK27" s="1357"/>
      <c r="AL27" s="1357"/>
      <c r="AM27" s="1357"/>
      <c r="AN27" s="1357"/>
      <c r="AO27" s="1357"/>
      <c r="AP27" s="1357"/>
      <c r="AQ27" s="1357"/>
      <c r="AR27" s="1357"/>
      <c r="AS27" s="1357"/>
      <c r="AT27" s="1357"/>
      <c r="AU27" s="1357"/>
      <c r="AV27" s="1357"/>
      <c r="AW27" s="1357"/>
      <c r="AX27" s="1357"/>
      <c r="AY27" s="1357"/>
      <c r="AZ27" s="1357"/>
      <c r="BA27" s="1357"/>
      <c r="BB27" s="1357"/>
      <c r="BC27" s="1357"/>
      <c r="BD27" s="1357"/>
      <c r="BE27" s="1357"/>
      <c r="BF27" s="1357"/>
      <c r="BG27" s="1357"/>
      <c r="BH27" s="1357"/>
      <c r="BI27" s="1357"/>
      <c r="BJ27" s="1357"/>
      <c r="BK27" s="1357"/>
      <c r="BL27" s="1357"/>
      <c r="BM27" s="1357"/>
      <c r="BN27" s="1357"/>
      <c r="BO27" s="1357"/>
      <c r="BP27" s="1357"/>
      <c r="BQ27" s="1357"/>
      <c r="BR27" s="1357"/>
      <c r="BS27" s="1357"/>
      <c r="BT27" s="1357"/>
      <c r="BU27" s="1357"/>
      <c r="BV27" s="1357"/>
      <c r="BW27" s="1357"/>
      <c r="BX27" s="1357"/>
      <c r="BY27" s="1357"/>
      <c r="BZ27" s="1357"/>
      <c r="CA27" s="1357"/>
      <c r="CB27" s="1357"/>
      <c r="CC27" s="1357"/>
      <c r="CD27" s="1357"/>
      <c r="CE27" s="1357"/>
      <c r="CF27" s="1357"/>
      <c r="CG27" s="1357"/>
      <c r="CH27" s="1357"/>
      <c r="CI27" s="1357"/>
      <c r="CJ27" s="1357"/>
      <c r="CK27" s="1357"/>
      <c r="CL27" s="1357"/>
      <c r="CM27" s="1357"/>
      <c r="CN27" s="1357"/>
      <c r="CO27" s="1357"/>
      <c r="CP27" s="1357"/>
      <c r="CQ27" s="1357"/>
      <c r="CR27" s="1357"/>
      <c r="CS27" s="1357"/>
      <c r="CT27" s="1357"/>
      <c r="CU27" s="1357"/>
      <c r="CV27" s="1357"/>
      <c r="CW27" s="1357"/>
      <c r="CX27" s="1357"/>
      <c r="CY27" s="1357"/>
      <c r="CZ27" s="1357"/>
      <c r="DA27" s="1357"/>
      <c r="DB27" s="1357"/>
      <c r="DC27" s="1357"/>
      <c r="DD27" s="1357"/>
      <c r="DE27" s="1357"/>
      <c r="DF27" s="1357"/>
      <c r="DG27" s="1357"/>
      <c r="DH27" s="1357"/>
      <c r="DI27" s="1357"/>
      <c r="DJ27" s="1357"/>
      <c r="DK27" s="1357"/>
      <c r="DL27" s="1357"/>
      <c r="DM27" s="1357"/>
      <c r="DN27" s="1357"/>
      <c r="DO27" s="1357"/>
      <c r="DP27" s="1357"/>
      <c r="DQ27" s="1357"/>
      <c r="DR27" s="1357"/>
      <c r="DS27" s="1357"/>
      <c r="DT27" s="1357"/>
      <c r="DU27" s="1357"/>
      <c r="DV27" s="1357"/>
      <c r="DW27" s="1357"/>
      <c r="DX27" s="1357"/>
      <c r="DY27" s="1357"/>
      <c r="DZ27" s="1357"/>
      <c r="EA27" s="1357"/>
      <c r="EB27" s="1357"/>
      <c r="EC27" s="1357"/>
      <c r="ED27" s="1357"/>
      <c r="EE27" s="1357"/>
      <c r="EF27" s="1357"/>
      <c r="EG27" s="1357"/>
      <c r="EH27" s="1357"/>
      <c r="EI27" s="1357"/>
      <c r="EJ27" s="1357"/>
      <c r="EK27" s="1357"/>
      <c r="EL27" s="1357"/>
      <c r="EM27" s="1357"/>
      <c r="EN27" s="1357"/>
      <c r="EO27" s="1357"/>
      <c r="EP27" s="1357"/>
      <c r="EQ27" s="1357"/>
      <c r="ER27" s="1357"/>
      <c r="ES27" s="1357"/>
      <c r="ET27" s="1357"/>
      <c r="EU27" s="1357"/>
      <c r="EV27" s="1357"/>
      <c r="EW27" s="1357"/>
      <c r="EX27" s="1357"/>
      <c r="EY27" s="1357"/>
      <c r="EZ27" s="1357"/>
      <c r="FA27" s="1357"/>
      <c r="FB27" s="1357"/>
      <c r="FC27" s="1357"/>
      <c r="FD27" s="1357"/>
      <c r="FE27" s="1357"/>
      <c r="FF27" s="1357"/>
      <c r="FG27" s="1357"/>
      <c r="FH27" s="1357"/>
      <c r="FI27" s="1357"/>
      <c r="FJ27" s="1357"/>
      <c r="FK27" s="1357"/>
      <c r="FL27" s="1357"/>
      <c r="FM27" s="1357"/>
      <c r="FN27" s="1357"/>
      <c r="FO27" s="1357"/>
      <c r="FP27" s="1357"/>
      <c r="FQ27" s="1357"/>
      <c r="FR27" s="1357"/>
      <c r="FS27" s="1357"/>
      <c r="FT27" s="1357"/>
      <c r="FU27" s="1357"/>
      <c r="FV27" s="1357"/>
      <c r="FW27" s="1357"/>
      <c r="FX27" s="1357"/>
      <c r="FY27" s="1357"/>
      <c r="FZ27" s="1357"/>
      <c r="GA27" s="1357"/>
      <c r="GB27" s="1357"/>
      <c r="GC27" s="1357"/>
      <c r="GD27" s="1357"/>
      <c r="GE27" s="1357"/>
      <c r="GF27" s="1357"/>
      <c r="GG27" s="1357"/>
      <c r="GH27" s="1357"/>
      <c r="GI27" s="1357"/>
      <c r="GJ27" s="1357"/>
      <c r="GK27" s="1357"/>
      <c r="GL27" s="1357"/>
      <c r="GM27" s="1357"/>
      <c r="GN27" s="1357"/>
      <c r="GO27" s="1357"/>
      <c r="GP27" s="1357"/>
      <c r="GQ27" s="1357"/>
      <c r="GR27" s="1357"/>
      <c r="GS27" s="1357"/>
      <c r="GT27" s="1357"/>
      <c r="GU27" s="1357"/>
      <c r="GV27" s="1357"/>
      <c r="GW27" s="1357"/>
      <c r="GX27" s="1357"/>
      <c r="GY27" s="1357"/>
      <c r="GZ27" s="1357"/>
      <c r="HA27" s="1357"/>
      <c r="HB27" s="1357"/>
      <c r="HC27" s="1357"/>
      <c r="HD27" s="1357"/>
      <c r="HE27" s="1357"/>
      <c r="HF27" s="1357"/>
      <c r="HG27" s="1357"/>
      <c r="HH27" s="1357"/>
      <c r="HI27" s="1357"/>
      <c r="HJ27" s="1357"/>
      <c r="HK27" s="1357"/>
      <c r="HL27" s="1357"/>
      <c r="HM27" s="1357"/>
      <c r="HN27" s="1357"/>
      <c r="HO27" s="1357"/>
      <c r="HP27" s="1357"/>
      <c r="HQ27" s="1357"/>
      <c r="HR27" s="1357"/>
      <c r="HS27" s="1357"/>
      <c r="HT27" s="1357"/>
      <c r="HU27" s="1357"/>
      <c r="HV27" s="1357"/>
      <c r="HW27" s="1357"/>
      <c r="HX27" s="1357"/>
      <c r="HY27" s="1357"/>
      <c r="HZ27" s="1357"/>
      <c r="IA27" s="1357"/>
      <c r="IB27" s="1357"/>
      <c r="IC27" s="1357"/>
      <c r="ID27" s="1357"/>
      <c r="IE27" s="1357"/>
      <c r="IF27" s="1357"/>
      <c r="IG27" s="1357"/>
      <c r="IH27" s="1357"/>
      <c r="II27" s="1357"/>
      <c r="IJ27" s="1357"/>
      <c r="IK27" s="1357"/>
      <c r="IL27" s="1357"/>
      <c r="IM27" s="1357"/>
      <c r="IN27" s="1357"/>
      <c r="IO27" s="1357"/>
      <c r="IP27" s="1357"/>
      <c r="IQ27" s="1357"/>
      <c r="IR27" s="1357"/>
      <c r="IS27" s="1357"/>
      <c r="IT27" s="1357"/>
      <c r="IU27" s="1357"/>
      <c r="IV27" s="1357"/>
    </row>
    <row r="28" spans="1:256">
      <c r="A28" s="1361">
        <f t="shared" si="2"/>
        <v>15</v>
      </c>
      <c r="B28" s="1358" t="s">
        <v>516</v>
      </c>
      <c r="C28" s="829">
        <f t="shared" si="3"/>
        <v>0</v>
      </c>
      <c r="D28" s="829">
        <f t="shared" si="5"/>
        <v>0</v>
      </c>
      <c r="E28" s="1358">
        <v>31</v>
      </c>
      <c r="F28" s="711">
        <v>62</v>
      </c>
      <c r="G28" s="1369">
        <f t="shared" si="0"/>
        <v>0.16986301369863013</v>
      </c>
      <c r="H28" s="829">
        <f t="shared" si="1"/>
        <v>0</v>
      </c>
      <c r="I28" s="829">
        <f t="shared" si="4"/>
        <v>0</v>
      </c>
      <c r="J28" s="1357"/>
      <c r="K28" s="1357"/>
      <c r="L28" s="1357"/>
      <c r="M28" s="1357"/>
      <c r="N28" s="1357"/>
      <c r="O28" s="1357"/>
      <c r="P28" s="1357"/>
      <c r="Q28" s="1357"/>
      <c r="R28" s="1357"/>
      <c r="S28" s="1357"/>
      <c r="T28" s="1357"/>
      <c r="U28" s="1357"/>
      <c r="V28" s="1357"/>
      <c r="W28" s="1357"/>
      <c r="X28" s="1357"/>
      <c r="Y28" s="1357"/>
      <c r="Z28" s="1357"/>
      <c r="AA28" s="1357"/>
      <c r="AB28" s="1357"/>
      <c r="AC28" s="1357"/>
      <c r="AD28" s="1357"/>
      <c r="AE28" s="1357"/>
      <c r="AF28" s="1357"/>
      <c r="AG28" s="1357"/>
      <c r="AH28" s="1357"/>
      <c r="AI28" s="1357"/>
      <c r="AJ28" s="1357"/>
      <c r="AK28" s="1357"/>
      <c r="AL28" s="1357"/>
      <c r="AM28" s="1357"/>
      <c r="AN28" s="1357"/>
      <c r="AO28" s="1357"/>
      <c r="AP28" s="1357"/>
      <c r="AQ28" s="1357"/>
      <c r="AR28" s="1357"/>
      <c r="AS28" s="1357"/>
      <c r="AT28" s="1357"/>
      <c r="AU28" s="1357"/>
      <c r="AV28" s="1357"/>
      <c r="AW28" s="1357"/>
      <c r="AX28" s="1357"/>
      <c r="AY28" s="1357"/>
      <c r="AZ28" s="1357"/>
      <c r="BA28" s="1357"/>
      <c r="BB28" s="1357"/>
      <c r="BC28" s="1357"/>
      <c r="BD28" s="1357"/>
      <c r="BE28" s="1357"/>
      <c r="BF28" s="1357"/>
      <c r="BG28" s="1357"/>
      <c r="BH28" s="1357"/>
      <c r="BI28" s="1357"/>
      <c r="BJ28" s="1357"/>
      <c r="BK28" s="1357"/>
      <c r="BL28" s="1357"/>
      <c r="BM28" s="1357"/>
      <c r="BN28" s="1357"/>
      <c r="BO28" s="1357"/>
      <c r="BP28" s="1357"/>
      <c r="BQ28" s="1357"/>
      <c r="BR28" s="1357"/>
      <c r="BS28" s="1357"/>
      <c r="BT28" s="1357"/>
      <c r="BU28" s="1357"/>
      <c r="BV28" s="1357"/>
      <c r="BW28" s="1357"/>
      <c r="BX28" s="1357"/>
      <c r="BY28" s="1357"/>
      <c r="BZ28" s="1357"/>
      <c r="CA28" s="1357"/>
      <c r="CB28" s="1357"/>
      <c r="CC28" s="1357"/>
      <c r="CD28" s="1357"/>
      <c r="CE28" s="1357"/>
      <c r="CF28" s="1357"/>
      <c r="CG28" s="1357"/>
      <c r="CH28" s="1357"/>
      <c r="CI28" s="1357"/>
      <c r="CJ28" s="1357"/>
      <c r="CK28" s="1357"/>
      <c r="CL28" s="1357"/>
      <c r="CM28" s="1357"/>
      <c r="CN28" s="1357"/>
      <c r="CO28" s="1357"/>
      <c r="CP28" s="1357"/>
      <c r="CQ28" s="1357"/>
      <c r="CR28" s="1357"/>
      <c r="CS28" s="1357"/>
      <c r="CT28" s="1357"/>
      <c r="CU28" s="1357"/>
      <c r="CV28" s="1357"/>
      <c r="CW28" s="1357"/>
      <c r="CX28" s="1357"/>
      <c r="CY28" s="1357"/>
      <c r="CZ28" s="1357"/>
      <c r="DA28" s="1357"/>
      <c r="DB28" s="1357"/>
      <c r="DC28" s="1357"/>
      <c r="DD28" s="1357"/>
      <c r="DE28" s="1357"/>
      <c r="DF28" s="1357"/>
      <c r="DG28" s="1357"/>
      <c r="DH28" s="1357"/>
      <c r="DI28" s="1357"/>
      <c r="DJ28" s="1357"/>
      <c r="DK28" s="1357"/>
      <c r="DL28" s="1357"/>
      <c r="DM28" s="1357"/>
      <c r="DN28" s="1357"/>
      <c r="DO28" s="1357"/>
      <c r="DP28" s="1357"/>
      <c r="DQ28" s="1357"/>
      <c r="DR28" s="1357"/>
      <c r="DS28" s="1357"/>
      <c r="DT28" s="1357"/>
      <c r="DU28" s="1357"/>
      <c r="DV28" s="1357"/>
      <c r="DW28" s="1357"/>
      <c r="DX28" s="1357"/>
      <c r="DY28" s="1357"/>
      <c r="DZ28" s="1357"/>
      <c r="EA28" s="1357"/>
      <c r="EB28" s="1357"/>
      <c r="EC28" s="1357"/>
      <c r="ED28" s="1357"/>
      <c r="EE28" s="1357"/>
      <c r="EF28" s="1357"/>
      <c r="EG28" s="1357"/>
      <c r="EH28" s="1357"/>
      <c r="EI28" s="1357"/>
      <c r="EJ28" s="1357"/>
      <c r="EK28" s="1357"/>
      <c r="EL28" s="1357"/>
      <c r="EM28" s="1357"/>
      <c r="EN28" s="1357"/>
      <c r="EO28" s="1357"/>
      <c r="EP28" s="1357"/>
      <c r="EQ28" s="1357"/>
      <c r="ER28" s="1357"/>
      <c r="ES28" s="1357"/>
      <c r="ET28" s="1357"/>
      <c r="EU28" s="1357"/>
      <c r="EV28" s="1357"/>
      <c r="EW28" s="1357"/>
      <c r="EX28" s="1357"/>
      <c r="EY28" s="1357"/>
      <c r="EZ28" s="1357"/>
      <c r="FA28" s="1357"/>
      <c r="FB28" s="1357"/>
      <c r="FC28" s="1357"/>
      <c r="FD28" s="1357"/>
      <c r="FE28" s="1357"/>
      <c r="FF28" s="1357"/>
      <c r="FG28" s="1357"/>
      <c r="FH28" s="1357"/>
      <c r="FI28" s="1357"/>
      <c r="FJ28" s="1357"/>
      <c r="FK28" s="1357"/>
      <c r="FL28" s="1357"/>
      <c r="FM28" s="1357"/>
      <c r="FN28" s="1357"/>
      <c r="FO28" s="1357"/>
      <c r="FP28" s="1357"/>
      <c r="FQ28" s="1357"/>
      <c r="FR28" s="1357"/>
      <c r="FS28" s="1357"/>
      <c r="FT28" s="1357"/>
      <c r="FU28" s="1357"/>
      <c r="FV28" s="1357"/>
      <c r="FW28" s="1357"/>
      <c r="FX28" s="1357"/>
      <c r="FY28" s="1357"/>
      <c r="FZ28" s="1357"/>
      <c r="GA28" s="1357"/>
      <c r="GB28" s="1357"/>
      <c r="GC28" s="1357"/>
      <c r="GD28" s="1357"/>
      <c r="GE28" s="1357"/>
      <c r="GF28" s="1357"/>
      <c r="GG28" s="1357"/>
      <c r="GH28" s="1357"/>
      <c r="GI28" s="1357"/>
      <c r="GJ28" s="1357"/>
      <c r="GK28" s="1357"/>
      <c r="GL28" s="1357"/>
      <c r="GM28" s="1357"/>
      <c r="GN28" s="1357"/>
      <c r="GO28" s="1357"/>
      <c r="GP28" s="1357"/>
      <c r="GQ28" s="1357"/>
      <c r="GR28" s="1357"/>
      <c r="GS28" s="1357"/>
      <c r="GT28" s="1357"/>
      <c r="GU28" s="1357"/>
      <c r="GV28" s="1357"/>
      <c r="GW28" s="1357"/>
      <c r="GX28" s="1357"/>
      <c r="GY28" s="1357"/>
      <c r="GZ28" s="1357"/>
      <c r="HA28" s="1357"/>
      <c r="HB28" s="1357"/>
      <c r="HC28" s="1357"/>
      <c r="HD28" s="1357"/>
      <c r="HE28" s="1357"/>
      <c r="HF28" s="1357"/>
      <c r="HG28" s="1357"/>
      <c r="HH28" s="1357"/>
      <c r="HI28" s="1357"/>
      <c r="HJ28" s="1357"/>
      <c r="HK28" s="1357"/>
      <c r="HL28" s="1357"/>
      <c r="HM28" s="1357"/>
      <c r="HN28" s="1357"/>
      <c r="HO28" s="1357"/>
      <c r="HP28" s="1357"/>
      <c r="HQ28" s="1357"/>
      <c r="HR28" s="1357"/>
      <c r="HS28" s="1357"/>
      <c r="HT28" s="1357"/>
      <c r="HU28" s="1357"/>
      <c r="HV28" s="1357"/>
      <c r="HW28" s="1357"/>
      <c r="HX28" s="1357"/>
      <c r="HY28" s="1357"/>
      <c r="HZ28" s="1357"/>
      <c r="IA28" s="1357"/>
      <c r="IB28" s="1357"/>
      <c r="IC28" s="1357"/>
      <c r="ID28" s="1357"/>
      <c r="IE28" s="1357"/>
      <c r="IF28" s="1357"/>
      <c r="IG28" s="1357"/>
      <c r="IH28" s="1357"/>
      <c r="II28" s="1357"/>
      <c r="IJ28" s="1357"/>
      <c r="IK28" s="1357"/>
      <c r="IL28" s="1357"/>
      <c r="IM28" s="1357"/>
      <c r="IN28" s="1357"/>
      <c r="IO28" s="1357"/>
      <c r="IP28" s="1357"/>
      <c r="IQ28" s="1357"/>
      <c r="IR28" s="1357"/>
      <c r="IS28" s="1357"/>
      <c r="IT28" s="1357"/>
      <c r="IU28" s="1357"/>
      <c r="IV28" s="1357"/>
    </row>
    <row r="29" spans="1:256">
      <c r="A29" s="1361">
        <f t="shared" si="2"/>
        <v>16</v>
      </c>
      <c r="B29" s="1358" t="s">
        <v>517</v>
      </c>
      <c r="C29" s="829">
        <f t="shared" si="3"/>
        <v>0</v>
      </c>
      <c r="D29" s="829">
        <f t="shared" si="5"/>
        <v>0</v>
      </c>
      <c r="E29" s="1358">
        <v>30</v>
      </c>
      <c r="F29" s="711">
        <v>32</v>
      </c>
      <c r="G29" s="1369">
        <f t="shared" si="0"/>
        <v>8.7671232876712329E-2</v>
      </c>
      <c r="H29" s="829">
        <f t="shared" si="1"/>
        <v>0</v>
      </c>
      <c r="I29" s="829">
        <f t="shared" si="4"/>
        <v>0</v>
      </c>
      <c r="J29" s="1357"/>
      <c r="K29" s="1357"/>
      <c r="L29" s="1357"/>
      <c r="M29" s="1357"/>
      <c r="N29" s="1357"/>
      <c r="O29" s="1357"/>
      <c r="P29" s="1357"/>
      <c r="Q29" s="1357"/>
      <c r="R29" s="1357"/>
      <c r="S29" s="1357"/>
      <c r="T29" s="1357"/>
      <c r="U29" s="1357"/>
      <c r="V29" s="1357"/>
      <c r="W29" s="1357"/>
      <c r="X29" s="1357"/>
      <c r="Y29" s="1357"/>
      <c r="Z29" s="1357"/>
      <c r="AA29" s="1357"/>
      <c r="AB29" s="1357"/>
      <c r="AC29" s="1357"/>
      <c r="AD29" s="1357"/>
      <c r="AE29" s="1357"/>
      <c r="AF29" s="1357"/>
      <c r="AG29" s="1357"/>
      <c r="AH29" s="1357"/>
      <c r="AI29" s="1357"/>
      <c r="AJ29" s="1357"/>
      <c r="AK29" s="1357"/>
      <c r="AL29" s="1357"/>
      <c r="AM29" s="1357"/>
      <c r="AN29" s="1357"/>
      <c r="AO29" s="1357"/>
      <c r="AP29" s="1357"/>
      <c r="AQ29" s="1357"/>
      <c r="AR29" s="1357"/>
      <c r="AS29" s="1357"/>
      <c r="AT29" s="1357"/>
      <c r="AU29" s="1357"/>
      <c r="AV29" s="1357"/>
      <c r="AW29" s="1357"/>
      <c r="AX29" s="1357"/>
      <c r="AY29" s="1357"/>
      <c r="AZ29" s="1357"/>
      <c r="BA29" s="1357"/>
      <c r="BB29" s="1357"/>
      <c r="BC29" s="1357"/>
      <c r="BD29" s="1357"/>
      <c r="BE29" s="1357"/>
      <c r="BF29" s="1357"/>
      <c r="BG29" s="1357"/>
      <c r="BH29" s="1357"/>
      <c r="BI29" s="1357"/>
      <c r="BJ29" s="1357"/>
      <c r="BK29" s="1357"/>
      <c r="BL29" s="1357"/>
      <c r="BM29" s="1357"/>
      <c r="BN29" s="1357"/>
      <c r="BO29" s="1357"/>
      <c r="BP29" s="1357"/>
      <c r="BQ29" s="1357"/>
      <c r="BR29" s="1357"/>
      <c r="BS29" s="1357"/>
      <c r="BT29" s="1357"/>
      <c r="BU29" s="1357"/>
      <c r="BV29" s="1357"/>
      <c r="BW29" s="1357"/>
      <c r="BX29" s="1357"/>
      <c r="BY29" s="1357"/>
      <c r="BZ29" s="1357"/>
      <c r="CA29" s="1357"/>
      <c r="CB29" s="1357"/>
      <c r="CC29" s="1357"/>
      <c r="CD29" s="1357"/>
      <c r="CE29" s="1357"/>
      <c r="CF29" s="1357"/>
      <c r="CG29" s="1357"/>
      <c r="CH29" s="1357"/>
      <c r="CI29" s="1357"/>
      <c r="CJ29" s="1357"/>
      <c r="CK29" s="1357"/>
      <c r="CL29" s="1357"/>
      <c r="CM29" s="1357"/>
      <c r="CN29" s="1357"/>
      <c r="CO29" s="1357"/>
      <c r="CP29" s="1357"/>
      <c r="CQ29" s="1357"/>
      <c r="CR29" s="1357"/>
      <c r="CS29" s="1357"/>
      <c r="CT29" s="1357"/>
      <c r="CU29" s="1357"/>
      <c r="CV29" s="1357"/>
      <c r="CW29" s="1357"/>
      <c r="CX29" s="1357"/>
      <c r="CY29" s="1357"/>
      <c r="CZ29" s="1357"/>
      <c r="DA29" s="1357"/>
      <c r="DB29" s="1357"/>
      <c r="DC29" s="1357"/>
      <c r="DD29" s="1357"/>
      <c r="DE29" s="1357"/>
      <c r="DF29" s="1357"/>
      <c r="DG29" s="1357"/>
      <c r="DH29" s="1357"/>
      <c r="DI29" s="1357"/>
      <c r="DJ29" s="1357"/>
      <c r="DK29" s="1357"/>
      <c r="DL29" s="1357"/>
      <c r="DM29" s="1357"/>
      <c r="DN29" s="1357"/>
      <c r="DO29" s="1357"/>
      <c r="DP29" s="1357"/>
      <c r="DQ29" s="1357"/>
      <c r="DR29" s="1357"/>
      <c r="DS29" s="1357"/>
      <c r="DT29" s="1357"/>
      <c r="DU29" s="1357"/>
      <c r="DV29" s="1357"/>
      <c r="DW29" s="1357"/>
      <c r="DX29" s="1357"/>
      <c r="DY29" s="1357"/>
      <c r="DZ29" s="1357"/>
      <c r="EA29" s="1357"/>
      <c r="EB29" s="1357"/>
      <c r="EC29" s="1357"/>
      <c r="ED29" s="1357"/>
      <c r="EE29" s="1357"/>
      <c r="EF29" s="1357"/>
      <c r="EG29" s="1357"/>
      <c r="EH29" s="1357"/>
      <c r="EI29" s="1357"/>
      <c r="EJ29" s="1357"/>
      <c r="EK29" s="1357"/>
      <c r="EL29" s="1357"/>
      <c r="EM29" s="1357"/>
      <c r="EN29" s="1357"/>
      <c r="EO29" s="1357"/>
      <c r="EP29" s="1357"/>
      <c r="EQ29" s="1357"/>
      <c r="ER29" s="1357"/>
      <c r="ES29" s="1357"/>
      <c r="ET29" s="1357"/>
      <c r="EU29" s="1357"/>
      <c r="EV29" s="1357"/>
      <c r="EW29" s="1357"/>
      <c r="EX29" s="1357"/>
      <c r="EY29" s="1357"/>
      <c r="EZ29" s="1357"/>
      <c r="FA29" s="1357"/>
      <c r="FB29" s="1357"/>
      <c r="FC29" s="1357"/>
      <c r="FD29" s="1357"/>
      <c r="FE29" s="1357"/>
      <c r="FF29" s="1357"/>
      <c r="FG29" s="1357"/>
      <c r="FH29" s="1357"/>
      <c r="FI29" s="1357"/>
      <c r="FJ29" s="1357"/>
      <c r="FK29" s="1357"/>
      <c r="FL29" s="1357"/>
      <c r="FM29" s="1357"/>
      <c r="FN29" s="1357"/>
      <c r="FO29" s="1357"/>
      <c r="FP29" s="1357"/>
      <c r="FQ29" s="1357"/>
      <c r="FR29" s="1357"/>
      <c r="FS29" s="1357"/>
      <c r="FT29" s="1357"/>
      <c r="FU29" s="1357"/>
      <c r="FV29" s="1357"/>
      <c r="FW29" s="1357"/>
      <c r="FX29" s="1357"/>
      <c r="FY29" s="1357"/>
      <c r="FZ29" s="1357"/>
      <c r="GA29" s="1357"/>
      <c r="GB29" s="1357"/>
      <c r="GC29" s="1357"/>
      <c r="GD29" s="1357"/>
      <c r="GE29" s="1357"/>
      <c r="GF29" s="1357"/>
      <c r="GG29" s="1357"/>
      <c r="GH29" s="1357"/>
      <c r="GI29" s="1357"/>
      <c r="GJ29" s="1357"/>
      <c r="GK29" s="1357"/>
      <c r="GL29" s="1357"/>
      <c r="GM29" s="1357"/>
      <c r="GN29" s="1357"/>
      <c r="GO29" s="1357"/>
      <c r="GP29" s="1357"/>
      <c r="GQ29" s="1357"/>
      <c r="GR29" s="1357"/>
      <c r="GS29" s="1357"/>
      <c r="GT29" s="1357"/>
      <c r="GU29" s="1357"/>
      <c r="GV29" s="1357"/>
      <c r="GW29" s="1357"/>
      <c r="GX29" s="1357"/>
      <c r="GY29" s="1357"/>
      <c r="GZ29" s="1357"/>
      <c r="HA29" s="1357"/>
      <c r="HB29" s="1357"/>
      <c r="HC29" s="1357"/>
      <c r="HD29" s="1357"/>
      <c r="HE29" s="1357"/>
      <c r="HF29" s="1357"/>
      <c r="HG29" s="1357"/>
      <c r="HH29" s="1357"/>
      <c r="HI29" s="1357"/>
      <c r="HJ29" s="1357"/>
      <c r="HK29" s="1357"/>
      <c r="HL29" s="1357"/>
      <c r="HM29" s="1357"/>
      <c r="HN29" s="1357"/>
      <c r="HO29" s="1357"/>
      <c r="HP29" s="1357"/>
      <c r="HQ29" s="1357"/>
      <c r="HR29" s="1357"/>
      <c r="HS29" s="1357"/>
      <c r="HT29" s="1357"/>
      <c r="HU29" s="1357"/>
      <c r="HV29" s="1357"/>
      <c r="HW29" s="1357"/>
      <c r="HX29" s="1357"/>
      <c r="HY29" s="1357"/>
      <c r="HZ29" s="1357"/>
      <c r="IA29" s="1357"/>
      <c r="IB29" s="1357"/>
      <c r="IC29" s="1357"/>
      <c r="ID29" s="1357"/>
      <c r="IE29" s="1357"/>
      <c r="IF29" s="1357"/>
      <c r="IG29" s="1357"/>
      <c r="IH29" s="1357"/>
      <c r="II29" s="1357"/>
      <c r="IJ29" s="1357"/>
      <c r="IK29" s="1357"/>
      <c r="IL29" s="1357"/>
      <c r="IM29" s="1357"/>
      <c r="IN29" s="1357"/>
      <c r="IO29" s="1357"/>
      <c r="IP29" s="1357"/>
      <c r="IQ29" s="1357"/>
      <c r="IR29" s="1357"/>
      <c r="IS29" s="1357"/>
      <c r="IT29" s="1357"/>
      <c r="IU29" s="1357"/>
      <c r="IV29" s="1357"/>
    </row>
    <row r="30" spans="1:256">
      <c r="A30" s="1361">
        <f t="shared" si="2"/>
        <v>17</v>
      </c>
      <c r="B30" s="1358" t="s">
        <v>328</v>
      </c>
      <c r="C30" s="829">
        <f t="shared" si="3"/>
        <v>0</v>
      </c>
      <c r="D30" s="829">
        <f t="shared" si="5"/>
        <v>0</v>
      </c>
      <c r="E30" s="1358">
        <v>31</v>
      </c>
      <c r="F30" s="711">
        <f>F29-E30</f>
        <v>1</v>
      </c>
      <c r="G30" s="1369">
        <f t="shared" si="0"/>
        <v>2.7397260273972603E-3</v>
      </c>
      <c r="H30" s="829">
        <f t="shared" si="1"/>
        <v>0</v>
      </c>
      <c r="I30" s="829">
        <f t="shared" si="4"/>
        <v>0</v>
      </c>
      <c r="J30" s="1357"/>
      <c r="K30" s="1357"/>
      <c r="L30" s="1357"/>
      <c r="M30" s="1357"/>
      <c r="N30" s="1357"/>
      <c r="O30" s="1357"/>
      <c r="P30" s="1357"/>
      <c r="Q30" s="1357"/>
      <c r="R30" s="1357"/>
      <c r="S30" s="1357"/>
      <c r="T30" s="1357"/>
      <c r="U30" s="1357"/>
      <c r="V30" s="1357"/>
      <c r="W30" s="1357"/>
      <c r="X30" s="1357"/>
      <c r="Y30" s="1357"/>
      <c r="Z30" s="1357"/>
      <c r="AA30" s="1357"/>
      <c r="AB30" s="1357"/>
      <c r="AC30" s="1357"/>
      <c r="AD30" s="1357"/>
      <c r="AE30" s="1357"/>
      <c r="AF30" s="1357"/>
      <c r="AG30" s="1357"/>
      <c r="AH30" s="1357"/>
      <c r="AI30" s="1357"/>
      <c r="AJ30" s="1357"/>
      <c r="AK30" s="1357"/>
      <c r="AL30" s="1357"/>
      <c r="AM30" s="1357"/>
      <c r="AN30" s="1357"/>
      <c r="AO30" s="1357"/>
      <c r="AP30" s="1357"/>
      <c r="AQ30" s="1357"/>
      <c r="AR30" s="1357"/>
      <c r="AS30" s="1357"/>
      <c r="AT30" s="1357"/>
      <c r="AU30" s="1357"/>
      <c r="AV30" s="1357"/>
      <c r="AW30" s="1357"/>
      <c r="AX30" s="1357"/>
      <c r="AY30" s="1357"/>
      <c r="AZ30" s="1357"/>
      <c r="BA30" s="1357"/>
      <c r="BB30" s="1357"/>
      <c r="BC30" s="1357"/>
      <c r="BD30" s="1357"/>
      <c r="BE30" s="1357"/>
      <c r="BF30" s="1357"/>
      <c r="BG30" s="1357"/>
      <c r="BH30" s="1357"/>
      <c r="BI30" s="1357"/>
      <c r="BJ30" s="1357"/>
      <c r="BK30" s="1357"/>
      <c r="BL30" s="1357"/>
      <c r="BM30" s="1357"/>
      <c r="BN30" s="1357"/>
      <c r="BO30" s="1357"/>
      <c r="BP30" s="1357"/>
      <c r="BQ30" s="1357"/>
      <c r="BR30" s="1357"/>
      <c r="BS30" s="1357"/>
      <c r="BT30" s="1357"/>
      <c r="BU30" s="1357"/>
      <c r="BV30" s="1357"/>
      <c r="BW30" s="1357"/>
      <c r="BX30" s="1357"/>
      <c r="BY30" s="1357"/>
      <c r="BZ30" s="1357"/>
      <c r="CA30" s="1357"/>
      <c r="CB30" s="1357"/>
      <c r="CC30" s="1357"/>
      <c r="CD30" s="1357"/>
      <c r="CE30" s="1357"/>
      <c r="CF30" s="1357"/>
      <c r="CG30" s="1357"/>
      <c r="CH30" s="1357"/>
      <c r="CI30" s="1357"/>
      <c r="CJ30" s="1357"/>
      <c r="CK30" s="1357"/>
      <c r="CL30" s="1357"/>
      <c r="CM30" s="1357"/>
      <c r="CN30" s="1357"/>
      <c r="CO30" s="1357"/>
      <c r="CP30" s="1357"/>
      <c r="CQ30" s="1357"/>
      <c r="CR30" s="1357"/>
      <c r="CS30" s="1357"/>
      <c r="CT30" s="1357"/>
      <c r="CU30" s="1357"/>
      <c r="CV30" s="1357"/>
      <c r="CW30" s="1357"/>
      <c r="CX30" s="1357"/>
      <c r="CY30" s="1357"/>
      <c r="CZ30" s="1357"/>
      <c r="DA30" s="1357"/>
      <c r="DB30" s="1357"/>
      <c r="DC30" s="1357"/>
      <c r="DD30" s="1357"/>
      <c r="DE30" s="1357"/>
      <c r="DF30" s="1357"/>
      <c r="DG30" s="1357"/>
      <c r="DH30" s="1357"/>
      <c r="DI30" s="1357"/>
      <c r="DJ30" s="1357"/>
      <c r="DK30" s="1357"/>
      <c r="DL30" s="1357"/>
      <c r="DM30" s="1357"/>
      <c r="DN30" s="1357"/>
      <c r="DO30" s="1357"/>
      <c r="DP30" s="1357"/>
      <c r="DQ30" s="1357"/>
      <c r="DR30" s="1357"/>
      <c r="DS30" s="1357"/>
      <c r="DT30" s="1357"/>
      <c r="DU30" s="1357"/>
      <c r="DV30" s="1357"/>
      <c r="DW30" s="1357"/>
      <c r="DX30" s="1357"/>
      <c r="DY30" s="1357"/>
      <c r="DZ30" s="1357"/>
      <c r="EA30" s="1357"/>
      <c r="EB30" s="1357"/>
      <c r="EC30" s="1357"/>
      <c r="ED30" s="1357"/>
      <c r="EE30" s="1357"/>
      <c r="EF30" s="1357"/>
      <c r="EG30" s="1357"/>
      <c r="EH30" s="1357"/>
      <c r="EI30" s="1357"/>
      <c r="EJ30" s="1357"/>
      <c r="EK30" s="1357"/>
      <c r="EL30" s="1357"/>
      <c r="EM30" s="1357"/>
      <c r="EN30" s="1357"/>
      <c r="EO30" s="1357"/>
      <c r="EP30" s="1357"/>
      <c r="EQ30" s="1357"/>
      <c r="ER30" s="1357"/>
      <c r="ES30" s="1357"/>
      <c r="ET30" s="1357"/>
      <c r="EU30" s="1357"/>
      <c r="EV30" s="1357"/>
      <c r="EW30" s="1357"/>
      <c r="EX30" s="1357"/>
      <c r="EY30" s="1357"/>
      <c r="EZ30" s="1357"/>
      <c r="FA30" s="1357"/>
      <c r="FB30" s="1357"/>
      <c r="FC30" s="1357"/>
      <c r="FD30" s="1357"/>
      <c r="FE30" s="1357"/>
      <c r="FF30" s="1357"/>
      <c r="FG30" s="1357"/>
      <c r="FH30" s="1357"/>
      <c r="FI30" s="1357"/>
      <c r="FJ30" s="1357"/>
      <c r="FK30" s="1357"/>
      <c r="FL30" s="1357"/>
      <c r="FM30" s="1357"/>
      <c r="FN30" s="1357"/>
      <c r="FO30" s="1357"/>
      <c r="FP30" s="1357"/>
      <c r="FQ30" s="1357"/>
      <c r="FR30" s="1357"/>
      <c r="FS30" s="1357"/>
      <c r="FT30" s="1357"/>
      <c r="FU30" s="1357"/>
      <c r="FV30" s="1357"/>
      <c r="FW30" s="1357"/>
      <c r="FX30" s="1357"/>
      <c r="FY30" s="1357"/>
      <c r="FZ30" s="1357"/>
      <c r="GA30" s="1357"/>
      <c r="GB30" s="1357"/>
      <c r="GC30" s="1357"/>
      <c r="GD30" s="1357"/>
      <c r="GE30" s="1357"/>
      <c r="GF30" s="1357"/>
      <c r="GG30" s="1357"/>
      <c r="GH30" s="1357"/>
      <c r="GI30" s="1357"/>
      <c r="GJ30" s="1357"/>
      <c r="GK30" s="1357"/>
      <c r="GL30" s="1357"/>
      <c r="GM30" s="1357"/>
      <c r="GN30" s="1357"/>
      <c r="GO30" s="1357"/>
      <c r="GP30" s="1357"/>
      <c r="GQ30" s="1357"/>
      <c r="GR30" s="1357"/>
      <c r="GS30" s="1357"/>
      <c r="GT30" s="1357"/>
      <c r="GU30" s="1357"/>
      <c r="GV30" s="1357"/>
      <c r="GW30" s="1357"/>
      <c r="GX30" s="1357"/>
      <c r="GY30" s="1357"/>
      <c r="GZ30" s="1357"/>
      <c r="HA30" s="1357"/>
      <c r="HB30" s="1357"/>
      <c r="HC30" s="1357"/>
      <c r="HD30" s="1357"/>
      <c r="HE30" s="1357"/>
      <c r="HF30" s="1357"/>
      <c r="HG30" s="1357"/>
      <c r="HH30" s="1357"/>
      <c r="HI30" s="1357"/>
      <c r="HJ30" s="1357"/>
      <c r="HK30" s="1357"/>
      <c r="HL30" s="1357"/>
      <c r="HM30" s="1357"/>
      <c r="HN30" s="1357"/>
      <c r="HO30" s="1357"/>
      <c r="HP30" s="1357"/>
      <c r="HQ30" s="1357"/>
      <c r="HR30" s="1357"/>
      <c r="HS30" s="1357"/>
      <c r="HT30" s="1357"/>
      <c r="HU30" s="1357"/>
      <c r="HV30" s="1357"/>
      <c r="HW30" s="1357"/>
      <c r="HX30" s="1357"/>
      <c r="HY30" s="1357"/>
      <c r="HZ30" s="1357"/>
      <c r="IA30" s="1357"/>
      <c r="IB30" s="1357"/>
      <c r="IC30" s="1357"/>
      <c r="ID30" s="1357"/>
      <c r="IE30" s="1357"/>
      <c r="IF30" s="1357"/>
      <c r="IG30" s="1357"/>
      <c r="IH30" s="1357"/>
      <c r="II30" s="1357"/>
      <c r="IJ30" s="1357"/>
      <c r="IK30" s="1357"/>
      <c r="IL30" s="1357"/>
      <c r="IM30" s="1357"/>
      <c r="IN30" s="1357"/>
      <c r="IO30" s="1357"/>
      <c r="IP30" s="1357"/>
      <c r="IQ30" s="1357"/>
      <c r="IR30" s="1357"/>
      <c r="IS30" s="1357"/>
      <c r="IT30" s="1357"/>
      <c r="IU30" s="1357"/>
      <c r="IV30" s="1357"/>
    </row>
    <row r="31" spans="1:256">
      <c r="A31" s="1361"/>
      <c r="B31" s="1358"/>
      <c r="C31" s="1370"/>
      <c r="D31" s="1370"/>
      <c r="E31" s="1358"/>
      <c r="F31" s="1358"/>
      <c r="G31" s="1358"/>
      <c r="H31" s="1370"/>
      <c r="I31" s="1370"/>
      <c r="J31" s="1357"/>
      <c r="K31" s="1357"/>
      <c r="L31" s="1357"/>
      <c r="M31" s="1357"/>
      <c r="N31" s="1357"/>
      <c r="O31" s="1357"/>
      <c r="P31" s="1357"/>
      <c r="Q31" s="1357"/>
      <c r="R31" s="1357"/>
      <c r="S31" s="1357"/>
      <c r="T31" s="1357"/>
      <c r="U31" s="1357"/>
      <c r="V31" s="1357"/>
      <c r="W31" s="1357"/>
      <c r="X31" s="1357"/>
      <c r="Y31" s="1357"/>
      <c r="Z31" s="1357"/>
      <c r="AA31" s="1357"/>
      <c r="AB31" s="1357"/>
      <c r="AC31" s="1357"/>
      <c r="AD31" s="1357"/>
      <c r="AE31" s="1357"/>
      <c r="AF31" s="1357"/>
      <c r="AG31" s="1357"/>
      <c r="AH31" s="1357"/>
      <c r="AI31" s="1357"/>
      <c r="AJ31" s="1357"/>
      <c r="AK31" s="1357"/>
      <c r="AL31" s="1357"/>
      <c r="AM31" s="1357"/>
      <c r="AN31" s="1357"/>
      <c r="AO31" s="1357"/>
      <c r="AP31" s="1357"/>
      <c r="AQ31" s="1357"/>
      <c r="AR31" s="1357"/>
      <c r="AS31" s="1357"/>
      <c r="AT31" s="1357"/>
      <c r="AU31" s="1357"/>
      <c r="AV31" s="1357"/>
      <c r="AW31" s="1357"/>
      <c r="AX31" s="1357"/>
      <c r="AY31" s="1357"/>
      <c r="AZ31" s="1357"/>
      <c r="BA31" s="1357"/>
      <c r="BB31" s="1357"/>
      <c r="BC31" s="1357"/>
      <c r="BD31" s="1357"/>
      <c r="BE31" s="1357"/>
      <c r="BF31" s="1357"/>
      <c r="BG31" s="1357"/>
      <c r="BH31" s="1357"/>
      <c r="BI31" s="1357"/>
      <c r="BJ31" s="1357"/>
      <c r="BK31" s="1357"/>
      <c r="BL31" s="1357"/>
      <c r="BM31" s="1357"/>
      <c r="BN31" s="1357"/>
      <c r="BO31" s="1357"/>
      <c r="BP31" s="1357"/>
      <c r="BQ31" s="1357"/>
      <c r="BR31" s="1357"/>
      <c r="BS31" s="1357"/>
      <c r="BT31" s="1357"/>
      <c r="BU31" s="1357"/>
      <c r="BV31" s="1357"/>
      <c r="BW31" s="1357"/>
      <c r="BX31" s="1357"/>
      <c r="BY31" s="1357"/>
      <c r="BZ31" s="1357"/>
      <c r="CA31" s="1357"/>
      <c r="CB31" s="1357"/>
      <c r="CC31" s="1357"/>
      <c r="CD31" s="1357"/>
      <c r="CE31" s="1357"/>
      <c r="CF31" s="1357"/>
      <c r="CG31" s="1357"/>
      <c r="CH31" s="1357"/>
      <c r="CI31" s="1357"/>
      <c r="CJ31" s="1357"/>
      <c r="CK31" s="1357"/>
      <c r="CL31" s="1357"/>
      <c r="CM31" s="1357"/>
      <c r="CN31" s="1357"/>
      <c r="CO31" s="1357"/>
      <c r="CP31" s="1357"/>
      <c r="CQ31" s="1357"/>
      <c r="CR31" s="1357"/>
      <c r="CS31" s="1357"/>
      <c r="CT31" s="1357"/>
      <c r="CU31" s="1357"/>
      <c r="CV31" s="1357"/>
      <c r="CW31" s="1357"/>
      <c r="CX31" s="1357"/>
      <c r="CY31" s="1357"/>
      <c r="CZ31" s="1357"/>
      <c r="DA31" s="1357"/>
      <c r="DB31" s="1357"/>
      <c r="DC31" s="1357"/>
      <c r="DD31" s="1357"/>
      <c r="DE31" s="1357"/>
      <c r="DF31" s="1357"/>
      <c r="DG31" s="1357"/>
      <c r="DH31" s="1357"/>
      <c r="DI31" s="1357"/>
      <c r="DJ31" s="1357"/>
      <c r="DK31" s="1357"/>
      <c r="DL31" s="1357"/>
      <c r="DM31" s="1357"/>
      <c r="DN31" s="1357"/>
      <c r="DO31" s="1357"/>
      <c r="DP31" s="1357"/>
      <c r="DQ31" s="1357"/>
      <c r="DR31" s="1357"/>
      <c r="DS31" s="1357"/>
      <c r="DT31" s="1357"/>
      <c r="DU31" s="1357"/>
      <c r="DV31" s="1357"/>
      <c r="DW31" s="1357"/>
      <c r="DX31" s="1357"/>
      <c r="DY31" s="1357"/>
      <c r="DZ31" s="1357"/>
      <c r="EA31" s="1357"/>
      <c r="EB31" s="1357"/>
      <c r="EC31" s="1357"/>
      <c r="ED31" s="1357"/>
      <c r="EE31" s="1357"/>
      <c r="EF31" s="1357"/>
      <c r="EG31" s="1357"/>
      <c r="EH31" s="1357"/>
      <c r="EI31" s="1357"/>
      <c r="EJ31" s="1357"/>
      <c r="EK31" s="1357"/>
      <c r="EL31" s="1357"/>
      <c r="EM31" s="1357"/>
      <c r="EN31" s="1357"/>
      <c r="EO31" s="1357"/>
      <c r="EP31" s="1357"/>
      <c r="EQ31" s="1357"/>
      <c r="ER31" s="1357"/>
      <c r="ES31" s="1357"/>
      <c r="ET31" s="1357"/>
      <c r="EU31" s="1357"/>
      <c r="EV31" s="1357"/>
      <c r="EW31" s="1357"/>
      <c r="EX31" s="1357"/>
      <c r="EY31" s="1357"/>
      <c r="EZ31" s="1357"/>
      <c r="FA31" s="1357"/>
      <c r="FB31" s="1357"/>
      <c r="FC31" s="1357"/>
      <c r="FD31" s="1357"/>
      <c r="FE31" s="1357"/>
      <c r="FF31" s="1357"/>
      <c r="FG31" s="1357"/>
      <c r="FH31" s="1357"/>
      <c r="FI31" s="1357"/>
      <c r="FJ31" s="1357"/>
      <c r="FK31" s="1357"/>
      <c r="FL31" s="1357"/>
      <c r="FM31" s="1357"/>
      <c r="FN31" s="1357"/>
      <c r="FO31" s="1357"/>
      <c r="FP31" s="1357"/>
      <c r="FQ31" s="1357"/>
      <c r="FR31" s="1357"/>
      <c r="FS31" s="1357"/>
      <c r="FT31" s="1357"/>
      <c r="FU31" s="1357"/>
      <c r="FV31" s="1357"/>
      <c r="FW31" s="1357"/>
      <c r="FX31" s="1357"/>
      <c r="FY31" s="1357"/>
      <c r="FZ31" s="1357"/>
      <c r="GA31" s="1357"/>
      <c r="GB31" s="1357"/>
      <c r="GC31" s="1357"/>
      <c r="GD31" s="1357"/>
      <c r="GE31" s="1357"/>
      <c r="GF31" s="1357"/>
      <c r="GG31" s="1357"/>
      <c r="GH31" s="1357"/>
      <c r="GI31" s="1357"/>
      <c r="GJ31" s="1357"/>
      <c r="GK31" s="1357"/>
      <c r="GL31" s="1357"/>
      <c r="GM31" s="1357"/>
      <c r="GN31" s="1357"/>
      <c r="GO31" s="1357"/>
      <c r="GP31" s="1357"/>
      <c r="GQ31" s="1357"/>
      <c r="GR31" s="1357"/>
      <c r="GS31" s="1357"/>
      <c r="GT31" s="1357"/>
      <c r="GU31" s="1357"/>
      <c r="GV31" s="1357"/>
      <c r="GW31" s="1357"/>
      <c r="GX31" s="1357"/>
      <c r="GY31" s="1357"/>
      <c r="GZ31" s="1357"/>
      <c r="HA31" s="1357"/>
      <c r="HB31" s="1357"/>
      <c r="HC31" s="1357"/>
      <c r="HD31" s="1357"/>
      <c r="HE31" s="1357"/>
      <c r="HF31" s="1357"/>
      <c r="HG31" s="1357"/>
      <c r="HH31" s="1357"/>
      <c r="HI31" s="1357"/>
      <c r="HJ31" s="1357"/>
      <c r="HK31" s="1357"/>
      <c r="HL31" s="1357"/>
      <c r="HM31" s="1357"/>
      <c r="HN31" s="1357"/>
      <c r="HO31" s="1357"/>
      <c r="HP31" s="1357"/>
      <c r="HQ31" s="1357"/>
      <c r="HR31" s="1357"/>
      <c r="HS31" s="1357"/>
      <c r="HT31" s="1357"/>
      <c r="HU31" s="1357"/>
      <c r="HV31" s="1357"/>
      <c r="HW31" s="1357"/>
      <c r="HX31" s="1357"/>
      <c r="HY31" s="1357"/>
      <c r="HZ31" s="1357"/>
      <c r="IA31" s="1357"/>
      <c r="IB31" s="1357"/>
      <c r="IC31" s="1357"/>
      <c r="ID31" s="1357"/>
      <c r="IE31" s="1357"/>
      <c r="IF31" s="1357"/>
      <c r="IG31" s="1357"/>
      <c r="IH31" s="1357"/>
      <c r="II31" s="1357"/>
      <c r="IJ31" s="1357"/>
      <c r="IK31" s="1357"/>
      <c r="IL31" s="1357"/>
      <c r="IM31" s="1357"/>
      <c r="IN31" s="1357"/>
      <c r="IO31" s="1357"/>
      <c r="IP31" s="1357"/>
      <c r="IQ31" s="1357"/>
      <c r="IR31" s="1357"/>
      <c r="IS31" s="1357"/>
      <c r="IT31" s="1357"/>
      <c r="IU31" s="1357"/>
      <c r="IV31" s="1357"/>
    </row>
    <row r="32" spans="1:256">
      <c r="A32" s="1361">
        <f>+A30+1</f>
        <v>18</v>
      </c>
      <c r="B32" s="1358" t="s">
        <v>518</v>
      </c>
      <c r="C32" s="1370"/>
      <c r="D32" s="829">
        <f>+D30</f>
        <v>0</v>
      </c>
      <c r="E32" s="1358"/>
      <c r="F32" s="1358"/>
      <c r="G32" s="1358"/>
      <c r="H32" s="1370"/>
      <c r="I32" s="829">
        <f>+I30</f>
        <v>0</v>
      </c>
      <c r="J32" s="1357"/>
      <c r="K32" s="1357"/>
      <c r="L32" s="1357"/>
      <c r="M32" s="1357"/>
      <c r="N32" s="1357"/>
      <c r="O32" s="1357"/>
      <c r="P32" s="1357"/>
      <c r="Q32" s="1357"/>
      <c r="R32" s="1357"/>
      <c r="S32" s="1357"/>
      <c r="T32" s="1357"/>
      <c r="U32" s="1357"/>
      <c r="V32" s="1357"/>
      <c r="W32" s="1357"/>
      <c r="X32" s="1357"/>
      <c r="Y32" s="1357"/>
      <c r="Z32" s="1357"/>
      <c r="AA32" s="1357"/>
      <c r="AB32" s="1357"/>
      <c r="AC32" s="1357"/>
      <c r="AD32" s="1357"/>
      <c r="AE32" s="1357"/>
      <c r="AF32" s="1357"/>
      <c r="AG32" s="1357"/>
      <c r="AH32" s="1357"/>
      <c r="AI32" s="1357"/>
      <c r="AJ32" s="1357"/>
      <c r="AK32" s="1357"/>
      <c r="AL32" s="1357"/>
      <c r="AM32" s="1357"/>
      <c r="AN32" s="1357"/>
      <c r="AO32" s="1357"/>
      <c r="AP32" s="1357"/>
      <c r="AQ32" s="1357"/>
      <c r="AR32" s="1357"/>
      <c r="AS32" s="1357"/>
      <c r="AT32" s="1357"/>
      <c r="AU32" s="1357"/>
      <c r="AV32" s="1357"/>
      <c r="AW32" s="1357"/>
      <c r="AX32" s="1357"/>
      <c r="AY32" s="1357"/>
      <c r="AZ32" s="1357"/>
      <c r="BA32" s="1357"/>
      <c r="BB32" s="1357"/>
      <c r="BC32" s="1357"/>
      <c r="BD32" s="1357"/>
      <c r="BE32" s="1357"/>
      <c r="BF32" s="1357"/>
      <c r="BG32" s="1357"/>
      <c r="BH32" s="1357"/>
      <c r="BI32" s="1357"/>
      <c r="BJ32" s="1357"/>
      <c r="BK32" s="1357"/>
      <c r="BL32" s="1357"/>
      <c r="BM32" s="1357"/>
      <c r="BN32" s="1357"/>
      <c r="BO32" s="1357"/>
      <c r="BP32" s="1357"/>
      <c r="BQ32" s="1357"/>
      <c r="BR32" s="1357"/>
      <c r="BS32" s="1357"/>
      <c r="BT32" s="1357"/>
      <c r="BU32" s="1357"/>
      <c r="BV32" s="1357"/>
      <c r="BW32" s="1357"/>
      <c r="BX32" s="1357"/>
      <c r="BY32" s="1357"/>
      <c r="BZ32" s="1357"/>
      <c r="CA32" s="1357"/>
      <c r="CB32" s="1357"/>
      <c r="CC32" s="1357"/>
      <c r="CD32" s="1357"/>
      <c r="CE32" s="1357"/>
      <c r="CF32" s="1357"/>
      <c r="CG32" s="1357"/>
      <c r="CH32" s="1357"/>
      <c r="CI32" s="1357"/>
      <c r="CJ32" s="1357"/>
      <c r="CK32" s="1357"/>
      <c r="CL32" s="1357"/>
      <c r="CM32" s="1357"/>
      <c r="CN32" s="1357"/>
      <c r="CO32" s="1357"/>
      <c r="CP32" s="1357"/>
      <c r="CQ32" s="1357"/>
      <c r="CR32" s="1357"/>
      <c r="CS32" s="1357"/>
      <c r="CT32" s="1357"/>
      <c r="CU32" s="1357"/>
      <c r="CV32" s="1357"/>
      <c r="CW32" s="1357"/>
      <c r="CX32" s="1357"/>
      <c r="CY32" s="1357"/>
      <c r="CZ32" s="1357"/>
      <c r="DA32" s="1357"/>
      <c r="DB32" s="1357"/>
      <c r="DC32" s="1357"/>
      <c r="DD32" s="1357"/>
      <c r="DE32" s="1357"/>
      <c r="DF32" s="1357"/>
      <c r="DG32" s="1357"/>
      <c r="DH32" s="1357"/>
      <c r="DI32" s="1357"/>
      <c r="DJ32" s="1357"/>
      <c r="DK32" s="1357"/>
      <c r="DL32" s="1357"/>
      <c r="DM32" s="1357"/>
      <c r="DN32" s="1357"/>
      <c r="DO32" s="1357"/>
      <c r="DP32" s="1357"/>
      <c r="DQ32" s="1357"/>
      <c r="DR32" s="1357"/>
      <c r="DS32" s="1357"/>
      <c r="DT32" s="1357"/>
      <c r="DU32" s="1357"/>
      <c r="DV32" s="1357"/>
      <c r="DW32" s="1357"/>
      <c r="DX32" s="1357"/>
      <c r="DY32" s="1357"/>
      <c r="DZ32" s="1357"/>
      <c r="EA32" s="1357"/>
      <c r="EB32" s="1357"/>
      <c r="EC32" s="1357"/>
      <c r="ED32" s="1357"/>
      <c r="EE32" s="1357"/>
      <c r="EF32" s="1357"/>
      <c r="EG32" s="1357"/>
      <c r="EH32" s="1357"/>
      <c r="EI32" s="1357"/>
      <c r="EJ32" s="1357"/>
      <c r="EK32" s="1357"/>
      <c r="EL32" s="1357"/>
      <c r="EM32" s="1357"/>
      <c r="EN32" s="1357"/>
      <c r="EO32" s="1357"/>
      <c r="EP32" s="1357"/>
      <c r="EQ32" s="1357"/>
      <c r="ER32" s="1357"/>
      <c r="ES32" s="1357"/>
      <c r="ET32" s="1357"/>
      <c r="EU32" s="1357"/>
      <c r="EV32" s="1357"/>
      <c r="EW32" s="1357"/>
      <c r="EX32" s="1357"/>
      <c r="EY32" s="1357"/>
      <c r="EZ32" s="1357"/>
      <c r="FA32" s="1357"/>
      <c r="FB32" s="1357"/>
      <c r="FC32" s="1357"/>
      <c r="FD32" s="1357"/>
      <c r="FE32" s="1357"/>
      <c r="FF32" s="1357"/>
      <c r="FG32" s="1357"/>
      <c r="FH32" s="1357"/>
      <c r="FI32" s="1357"/>
      <c r="FJ32" s="1357"/>
      <c r="FK32" s="1357"/>
      <c r="FL32" s="1357"/>
      <c r="FM32" s="1357"/>
      <c r="FN32" s="1357"/>
      <c r="FO32" s="1357"/>
      <c r="FP32" s="1357"/>
      <c r="FQ32" s="1357"/>
      <c r="FR32" s="1357"/>
      <c r="FS32" s="1357"/>
      <c r="FT32" s="1357"/>
      <c r="FU32" s="1357"/>
      <c r="FV32" s="1357"/>
      <c r="FW32" s="1357"/>
      <c r="FX32" s="1357"/>
      <c r="FY32" s="1357"/>
      <c r="FZ32" s="1357"/>
      <c r="GA32" s="1357"/>
      <c r="GB32" s="1357"/>
      <c r="GC32" s="1357"/>
      <c r="GD32" s="1357"/>
      <c r="GE32" s="1357"/>
      <c r="GF32" s="1357"/>
      <c r="GG32" s="1357"/>
      <c r="GH32" s="1357"/>
      <c r="GI32" s="1357"/>
      <c r="GJ32" s="1357"/>
      <c r="GK32" s="1357"/>
      <c r="GL32" s="1357"/>
      <c r="GM32" s="1357"/>
      <c r="GN32" s="1357"/>
      <c r="GO32" s="1357"/>
      <c r="GP32" s="1357"/>
      <c r="GQ32" s="1357"/>
      <c r="GR32" s="1357"/>
      <c r="GS32" s="1357"/>
      <c r="GT32" s="1357"/>
      <c r="GU32" s="1357"/>
      <c r="GV32" s="1357"/>
      <c r="GW32" s="1357"/>
      <c r="GX32" s="1357"/>
      <c r="GY32" s="1357"/>
      <c r="GZ32" s="1357"/>
      <c r="HA32" s="1357"/>
      <c r="HB32" s="1357"/>
      <c r="HC32" s="1357"/>
      <c r="HD32" s="1357"/>
      <c r="HE32" s="1357"/>
      <c r="HF32" s="1357"/>
      <c r="HG32" s="1357"/>
      <c r="HH32" s="1357"/>
      <c r="HI32" s="1357"/>
      <c r="HJ32" s="1357"/>
      <c r="HK32" s="1357"/>
      <c r="HL32" s="1357"/>
      <c r="HM32" s="1357"/>
      <c r="HN32" s="1357"/>
      <c r="HO32" s="1357"/>
      <c r="HP32" s="1357"/>
      <c r="HQ32" s="1357"/>
      <c r="HR32" s="1357"/>
      <c r="HS32" s="1357"/>
      <c r="HT32" s="1357"/>
      <c r="HU32" s="1357"/>
      <c r="HV32" s="1357"/>
      <c r="HW32" s="1357"/>
      <c r="HX32" s="1357"/>
      <c r="HY32" s="1357"/>
      <c r="HZ32" s="1357"/>
      <c r="IA32" s="1357"/>
      <c r="IB32" s="1357"/>
      <c r="IC32" s="1357"/>
      <c r="ID32" s="1357"/>
      <c r="IE32" s="1357"/>
      <c r="IF32" s="1357"/>
      <c r="IG32" s="1357"/>
      <c r="IH32" s="1357"/>
      <c r="II32" s="1357"/>
      <c r="IJ32" s="1357"/>
      <c r="IK32" s="1357"/>
      <c r="IL32" s="1357"/>
      <c r="IM32" s="1357"/>
      <c r="IN32" s="1357"/>
      <c r="IO32" s="1357"/>
      <c r="IP32" s="1357"/>
      <c r="IQ32" s="1357"/>
      <c r="IR32" s="1357"/>
      <c r="IS32" s="1357"/>
      <c r="IT32" s="1357"/>
      <c r="IU32" s="1357"/>
      <c r="IV32" s="1357"/>
    </row>
    <row r="33" spans="1:256">
      <c r="A33" s="1361"/>
      <c r="B33" s="1371"/>
      <c r="C33" s="1371"/>
      <c r="D33" s="1371"/>
      <c r="E33" s="1371"/>
      <c r="F33" s="1371"/>
      <c r="G33" s="1371"/>
      <c r="H33" s="1371"/>
      <c r="I33" s="1371"/>
      <c r="J33" s="1357"/>
      <c r="K33" s="1357"/>
      <c r="L33" s="1357"/>
      <c r="M33" s="1357"/>
      <c r="N33" s="1357"/>
      <c r="O33" s="1357"/>
      <c r="P33" s="1357"/>
      <c r="Q33" s="1357"/>
      <c r="R33" s="1357"/>
      <c r="S33" s="1357"/>
      <c r="T33" s="1357"/>
      <c r="U33" s="1357"/>
      <c r="V33" s="1357"/>
      <c r="W33" s="1357"/>
      <c r="X33" s="1357"/>
      <c r="Y33" s="1357"/>
      <c r="Z33" s="1357"/>
      <c r="AA33" s="1357"/>
      <c r="AB33" s="1357"/>
      <c r="AC33" s="1357"/>
      <c r="AD33" s="1357"/>
      <c r="AE33" s="1357"/>
      <c r="AF33" s="1357"/>
      <c r="AG33" s="1357"/>
      <c r="AH33" s="1357"/>
      <c r="AI33" s="1357"/>
      <c r="AJ33" s="1357"/>
      <c r="AK33" s="1357"/>
      <c r="AL33" s="1357"/>
      <c r="AM33" s="1357"/>
      <c r="AN33" s="1357"/>
      <c r="AO33" s="1357"/>
      <c r="AP33" s="1357"/>
      <c r="AQ33" s="1357"/>
      <c r="AR33" s="1357"/>
      <c r="AS33" s="1357"/>
      <c r="AT33" s="1357"/>
      <c r="AU33" s="1357"/>
      <c r="AV33" s="1357"/>
      <c r="AW33" s="1357"/>
      <c r="AX33" s="1357"/>
      <c r="AY33" s="1357"/>
      <c r="AZ33" s="1357"/>
      <c r="BA33" s="1357"/>
      <c r="BB33" s="1357"/>
      <c r="BC33" s="1357"/>
      <c r="BD33" s="1357"/>
      <c r="BE33" s="1357"/>
      <c r="BF33" s="1357"/>
      <c r="BG33" s="1357"/>
      <c r="BH33" s="1357"/>
      <c r="BI33" s="1357"/>
      <c r="BJ33" s="1357"/>
      <c r="BK33" s="1357"/>
      <c r="BL33" s="1357"/>
      <c r="BM33" s="1357"/>
      <c r="BN33" s="1357"/>
      <c r="BO33" s="1357"/>
      <c r="BP33" s="1357"/>
      <c r="BQ33" s="1357"/>
      <c r="BR33" s="1357"/>
      <c r="BS33" s="1357"/>
      <c r="BT33" s="1357"/>
      <c r="BU33" s="1357"/>
      <c r="BV33" s="1357"/>
      <c r="BW33" s="1357"/>
      <c r="BX33" s="1357"/>
      <c r="BY33" s="1357"/>
      <c r="BZ33" s="1357"/>
      <c r="CA33" s="1357"/>
      <c r="CB33" s="1357"/>
      <c r="CC33" s="1357"/>
      <c r="CD33" s="1357"/>
      <c r="CE33" s="1357"/>
      <c r="CF33" s="1357"/>
      <c r="CG33" s="1357"/>
      <c r="CH33" s="1357"/>
      <c r="CI33" s="1357"/>
      <c r="CJ33" s="1357"/>
      <c r="CK33" s="1357"/>
      <c r="CL33" s="1357"/>
      <c r="CM33" s="1357"/>
      <c r="CN33" s="1357"/>
      <c r="CO33" s="1357"/>
      <c r="CP33" s="1357"/>
      <c r="CQ33" s="1357"/>
      <c r="CR33" s="1357"/>
      <c r="CS33" s="1357"/>
      <c r="CT33" s="1357"/>
      <c r="CU33" s="1357"/>
      <c r="CV33" s="1357"/>
      <c r="CW33" s="1357"/>
      <c r="CX33" s="1357"/>
      <c r="CY33" s="1357"/>
      <c r="CZ33" s="1357"/>
      <c r="DA33" s="1357"/>
      <c r="DB33" s="1357"/>
      <c r="DC33" s="1357"/>
      <c r="DD33" s="1357"/>
      <c r="DE33" s="1357"/>
      <c r="DF33" s="1357"/>
      <c r="DG33" s="1357"/>
      <c r="DH33" s="1357"/>
      <c r="DI33" s="1357"/>
      <c r="DJ33" s="1357"/>
      <c r="DK33" s="1357"/>
      <c r="DL33" s="1357"/>
      <c r="DM33" s="1357"/>
      <c r="DN33" s="1357"/>
      <c r="DO33" s="1357"/>
      <c r="DP33" s="1357"/>
      <c r="DQ33" s="1357"/>
      <c r="DR33" s="1357"/>
      <c r="DS33" s="1357"/>
      <c r="DT33" s="1357"/>
      <c r="DU33" s="1357"/>
      <c r="DV33" s="1357"/>
      <c r="DW33" s="1357"/>
      <c r="DX33" s="1357"/>
      <c r="DY33" s="1357"/>
      <c r="DZ33" s="1357"/>
      <c r="EA33" s="1357"/>
      <c r="EB33" s="1357"/>
      <c r="EC33" s="1357"/>
      <c r="ED33" s="1357"/>
      <c r="EE33" s="1357"/>
      <c r="EF33" s="1357"/>
      <c r="EG33" s="1357"/>
      <c r="EH33" s="1357"/>
      <c r="EI33" s="1357"/>
      <c r="EJ33" s="1357"/>
      <c r="EK33" s="1357"/>
      <c r="EL33" s="1357"/>
      <c r="EM33" s="1357"/>
      <c r="EN33" s="1357"/>
      <c r="EO33" s="1357"/>
      <c r="EP33" s="1357"/>
      <c r="EQ33" s="1357"/>
      <c r="ER33" s="1357"/>
      <c r="ES33" s="1357"/>
      <c r="ET33" s="1357"/>
      <c r="EU33" s="1357"/>
      <c r="EV33" s="1357"/>
      <c r="EW33" s="1357"/>
      <c r="EX33" s="1357"/>
      <c r="EY33" s="1357"/>
      <c r="EZ33" s="1357"/>
      <c r="FA33" s="1357"/>
      <c r="FB33" s="1357"/>
      <c r="FC33" s="1357"/>
      <c r="FD33" s="1357"/>
      <c r="FE33" s="1357"/>
      <c r="FF33" s="1357"/>
      <c r="FG33" s="1357"/>
      <c r="FH33" s="1357"/>
      <c r="FI33" s="1357"/>
      <c r="FJ33" s="1357"/>
      <c r="FK33" s="1357"/>
      <c r="FL33" s="1357"/>
      <c r="FM33" s="1357"/>
      <c r="FN33" s="1357"/>
      <c r="FO33" s="1357"/>
      <c r="FP33" s="1357"/>
      <c r="FQ33" s="1357"/>
      <c r="FR33" s="1357"/>
      <c r="FS33" s="1357"/>
      <c r="FT33" s="1357"/>
      <c r="FU33" s="1357"/>
      <c r="FV33" s="1357"/>
      <c r="FW33" s="1357"/>
      <c r="FX33" s="1357"/>
      <c r="FY33" s="1357"/>
      <c r="FZ33" s="1357"/>
      <c r="GA33" s="1357"/>
      <c r="GB33" s="1357"/>
      <c r="GC33" s="1357"/>
      <c r="GD33" s="1357"/>
      <c r="GE33" s="1357"/>
      <c r="GF33" s="1357"/>
      <c r="GG33" s="1357"/>
      <c r="GH33" s="1357"/>
      <c r="GI33" s="1357"/>
      <c r="GJ33" s="1357"/>
      <c r="GK33" s="1357"/>
      <c r="GL33" s="1357"/>
      <c r="GM33" s="1357"/>
      <c r="GN33" s="1357"/>
      <c r="GO33" s="1357"/>
      <c r="GP33" s="1357"/>
      <c r="GQ33" s="1357"/>
      <c r="GR33" s="1357"/>
      <c r="GS33" s="1357"/>
      <c r="GT33" s="1357"/>
      <c r="GU33" s="1357"/>
      <c r="GV33" s="1357"/>
      <c r="GW33" s="1357"/>
      <c r="GX33" s="1357"/>
      <c r="GY33" s="1357"/>
      <c r="GZ33" s="1357"/>
      <c r="HA33" s="1357"/>
      <c r="HB33" s="1357"/>
      <c r="HC33" s="1357"/>
      <c r="HD33" s="1357"/>
      <c r="HE33" s="1357"/>
      <c r="HF33" s="1357"/>
      <c r="HG33" s="1357"/>
      <c r="HH33" s="1357"/>
      <c r="HI33" s="1357"/>
      <c r="HJ33" s="1357"/>
      <c r="HK33" s="1357"/>
      <c r="HL33" s="1357"/>
      <c r="HM33" s="1357"/>
      <c r="HN33" s="1357"/>
      <c r="HO33" s="1357"/>
      <c r="HP33" s="1357"/>
      <c r="HQ33" s="1357"/>
      <c r="HR33" s="1357"/>
      <c r="HS33" s="1357"/>
      <c r="HT33" s="1357"/>
      <c r="HU33" s="1357"/>
      <c r="HV33" s="1357"/>
      <c r="HW33" s="1357"/>
      <c r="HX33" s="1357"/>
      <c r="HY33" s="1357"/>
      <c r="HZ33" s="1357"/>
      <c r="IA33" s="1357"/>
      <c r="IB33" s="1357"/>
      <c r="IC33" s="1357"/>
      <c r="ID33" s="1357"/>
      <c r="IE33" s="1357"/>
      <c r="IF33" s="1357"/>
      <c r="IG33" s="1357"/>
      <c r="IH33" s="1357"/>
      <c r="II33" s="1357"/>
      <c r="IJ33" s="1357"/>
      <c r="IK33" s="1357"/>
      <c r="IL33" s="1357"/>
      <c r="IM33" s="1357"/>
      <c r="IN33" s="1357"/>
      <c r="IO33" s="1357"/>
      <c r="IP33" s="1357"/>
      <c r="IQ33" s="1357"/>
      <c r="IR33" s="1357"/>
      <c r="IS33" s="1357"/>
      <c r="IT33" s="1357"/>
      <c r="IU33" s="1357"/>
      <c r="IV33" s="1357"/>
    </row>
    <row r="34" spans="1:256" ht="13" thickBot="1">
      <c r="A34" s="1361">
        <f>+A32+1</f>
        <v>19</v>
      </c>
      <c r="B34" s="1372" t="str">
        <f>"Proration Adjustment - Line "&amp;A32&amp;" Col. "&amp;I16&amp;" less Col. "&amp;D16</f>
        <v>Proration Adjustment - Line 18 Col. (H) less Col. (C )</v>
      </c>
      <c r="C34" s="1372"/>
      <c r="D34" s="1372"/>
      <c r="E34" s="1372"/>
      <c r="F34" s="1372"/>
      <c r="G34" s="1372"/>
      <c r="H34" s="1372"/>
      <c r="I34" s="1373">
        <f>+I32-D32</f>
        <v>0</v>
      </c>
      <c r="J34" s="1357"/>
      <c r="K34" s="1357"/>
      <c r="L34" s="1357"/>
      <c r="M34" s="1357"/>
      <c r="N34" s="1357"/>
      <c r="O34" s="1357"/>
      <c r="P34" s="1357"/>
      <c r="Q34" s="1357"/>
      <c r="R34" s="1357"/>
      <c r="S34" s="1357"/>
      <c r="T34" s="1357"/>
      <c r="U34" s="1357"/>
      <c r="V34" s="1357"/>
      <c r="W34" s="1357"/>
      <c r="X34" s="1357"/>
      <c r="Y34" s="1357"/>
      <c r="Z34" s="1357"/>
      <c r="AA34" s="1357"/>
      <c r="AB34" s="1357"/>
      <c r="AC34" s="1357"/>
      <c r="AD34" s="1357"/>
      <c r="AE34" s="1357"/>
      <c r="AF34" s="1357"/>
      <c r="AG34" s="1357"/>
      <c r="AH34" s="1357"/>
      <c r="AI34" s="1357"/>
      <c r="AJ34" s="1357"/>
      <c r="AK34" s="1357"/>
      <c r="AL34" s="1357"/>
      <c r="AM34" s="1357"/>
      <c r="AN34" s="1357"/>
      <c r="AO34" s="1357"/>
      <c r="AP34" s="1357"/>
      <c r="AQ34" s="1357"/>
      <c r="AR34" s="1357"/>
      <c r="AS34" s="1357"/>
      <c r="AT34" s="1357"/>
      <c r="AU34" s="1357"/>
      <c r="AV34" s="1357"/>
      <c r="AW34" s="1357"/>
      <c r="AX34" s="1357"/>
      <c r="AY34" s="1357"/>
      <c r="AZ34" s="1357"/>
      <c r="BA34" s="1357"/>
      <c r="BB34" s="1357"/>
      <c r="BC34" s="1357"/>
      <c r="BD34" s="1357"/>
      <c r="BE34" s="1357"/>
      <c r="BF34" s="1357"/>
      <c r="BG34" s="1357"/>
      <c r="BH34" s="1357"/>
      <c r="BI34" s="1357"/>
      <c r="BJ34" s="1357"/>
      <c r="BK34" s="1357"/>
      <c r="BL34" s="1357"/>
      <c r="BM34" s="1357"/>
      <c r="BN34" s="1357"/>
      <c r="BO34" s="1357"/>
      <c r="BP34" s="1357"/>
      <c r="BQ34" s="1357"/>
      <c r="BR34" s="1357"/>
      <c r="BS34" s="1357"/>
      <c r="BT34" s="1357"/>
      <c r="BU34" s="1357"/>
      <c r="BV34" s="1357"/>
      <c r="BW34" s="1357"/>
      <c r="BX34" s="1357"/>
      <c r="BY34" s="1357"/>
      <c r="BZ34" s="1357"/>
      <c r="CA34" s="1357"/>
      <c r="CB34" s="1357"/>
      <c r="CC34" s="1357"/>
      <c r="CD34" s="1357"/>
      <c r="CE34" s="1357"/>
      <c r="CF34" s="1357"/>
      <c r="CG34" s="1357"/>
      <c r="CH34" s="1357"/>
      <c r="CI34" s="1357"/>
      <c r="CJ34" s="1357"/>
      <c r="CK34" s="1357"/>
      <c r="CL34" s="1357"/>
      <c r="CM34" s="1357"/>
      <c r="CN34" s="1357"/>
      <c r="CO34" s="1357"/>
      <c r="CP34" s="1357"/>
      <c r="CQ34" s="1357"/>
      <c r="CR34" s="1357"/>
      <c r="CS34" s="1357"/>
      <c r="CT34" s="1357"/>
      <c r="CU34" s="1357"/>
      <c r="CV34" s="1357"/>
      <c r="CW34" s="1357"/>
      <c r="CX34" s="1357"/>
      <c r="CY34" s="1357"/>
      <c r="CZ34" s="1357"/>
      <c r="DA34" s="1357"/>
      <c r="DB34" s="1357"/>
      <c r="DC34" s="1357"/>
      <c r="DD34" s="1357"/>
      <c r="DE34" s="1357"/>
      <c r="DF34" s="1357"/>
      <c r="DG34" s="1357"/>
      <c r="DH34" s="1357"/>
      <c r="DI34" s="1357"/>
      <c r="DJ34" s="1357"/>
      <c r="DK34" s="1357"/>
      <c r="DL34" s="1357"/>
      <c r="DM34" s="1357"/>
      <c r="DN34" s="1357"/>
      <c r="DO34" s="1357"/>
      <c r="DP34" s="1357"/>
      <c r="DQ34" s="1357"/>
      <c r="DR34" s="1357"/>
      <c r="DS34" s="1357"/>
      <c r="DT34" s="1357"/>
      <c r="DU34" s="1357"/>
      <c r="DV34" s="1357"/>
      <c r="DW34" s="1357"/>
      <c r="DX34" s="1357"/>
      <c r="DY34" s="1357"/>
      <c r="DZ34" s="1357"/>
      <c r="EA34" s="1357"/>
      <c r="EB34" s="1357"/>
      <c r="EC34" s="1357"/>
      <c r="ED34" s="1357"/>
      <c r="EE34" s="1357"/>
      <c r="EF34" s="1357"/>
      <c r="EG34" s="1357"/>
      <c r="EH34" s="1357"/>
      <c r="EI34" s="1357"/>
      <c r="EJ34" s="1357"/>
      <c r="EK34" s="1357"/>
      <c r="EL34" s="1357"/>
      <c r="EM34" s="1357"/>
      <c r="EN34" s="1357"/>
      <c r="EO34" s="1357"/>
      <c r="EP34" s="1357"/>
      <c r="EQ34" s="1357"/>
      <c r="ER34" s="1357"/>
      <c r="ES34" s="1357"/>
      <c r="ET34" s="1357"/>
      <c r="EU34" s="1357"/>
      <c r="EV34" s="1357"/>
      <c r="EW34" s="1357"/>
      <c r="EX34" s="1357"/>
      <c r="EY34" s="1357"/>
      <c r="EZ34" s="1357"/>
      <c r="FA34" s="1357"/>
      <c r="FB34" s="1357"/>
      <c r="FC34" s="1357"/>
      <c r="FD34" s="1357"/>
      <c r="FE34" s="1357"/>
      <c r="FF34" s="1357"/>
      <c r="FG34" s="1357"/>
      <c r="FH34" s="1357"/>
      <c r="FI34" s="1357"/>
      <c r="FJ34" s="1357"/>
      <c r="FK34" s="1357"/>
      <c r="FL34" s="1357"/>
      <c r="FM34" s="1357"/>
      <c r="FN34" s="1357"/>
      <c r="FO34" s="1357"/>
      <c r="FP34" s="1357"/>
      <c r="FQ34" s="1357"/>
      <c r="FR34" s="1357"/>
      <c r="FS34" s="1357"/>
      <c r="FT34" s="1357"/>
      <c r="FU34" s="1357"/>
      <c r="FV34" s="1357"/>
      <c r="FW34" s="1357"/>
      <c r="FX34" s="1357"/>
      <c r="FY34" s="1357"/>
      <c r="FZ34" s="1357"/>
      <c r="GA34" s="1357"/>
      <c r="GB34" s="1357"/>
      <c r="GC34" s="1357"/>
      <c r="GD34" s="1357"/>
      <c r="GE34" s="1357"/>
      <c r="GF34" s="1357"/>
      <c r="GG34" s="1357"/>
      <c r="GH34" s="1357"/>
      <c r="GI34" s="1357"/>
      <c r="GJ34" s="1357"/>
      <c r="GK34" s="1357"/>
      <c r="GL34" s="1357"/>
      <c r="GM34" s="1357"/>
      <c r="GN34" s="1357"/>
      <c r="GO34" s="1357"/>
      <c r="GP34" s="1357"/>
      <c r="GQ34" s="1357"/>
      <c r="GR34" s="1357"/>
      <c r="GS34" s="1357"/>
      <c r="GT34" s="1357"/>
      <c r="GU34" s="1357"/>
      <c r="GV34" s="1357"/>
      <c r="GW34" s="1357"/>
      <c r="GX34" s="1357"/>
      <c r="GY34" s="1357"/>
      <c r="GZ34" s="1357"/>
      <c r="HA34" s="1357"/>
      <c r="HB34" s="1357"/>
      <c r="HC34" s="1357"/>
      <c r="HD34" s="1357"/>
      <c r="HE34" s="1357"/>
      <c r="HF34" s="1357"/>
      <c r="HG34" s="1357"/>
      <c r="HH34" s="1357"/>
      <c r="HI34" s="1357"/>
      <c r="HJ34" s="1357"/>
      <c r="HK34" s="1357"/>
      <c r="HL34" s="1357"/>
      <c r="HM34" s="1357"/>
      <c r="HN34" s="1357"/>
      <c r="HO34" s="1357"/>
      <c r="HP34" s="1357"/>
      <c r="HQ34" s="1357"/>
      <c r="HR34" s="1357"/>
      <c r="HS34" s="1357"/>
      <c r="HT34" s="1357"/>
      <c r="HU34" s="1357"/>
      <c r="HV34" s="1357"/>
      <c r="HW34" s="1357"/>
      <c r="HX34" s="1357"/>
      <c r="HY34" s="1357"/>
      <c r="HZ34" s="1357"/>
      <c r="IA34" s="1357"/>
      <c r="IB34" s="1357"/>
      <c r="IC34" s="1357"/>
      <c r="ID34" s="1357"/>
      <c r="IE34" s="1357"/>
      <c r="IF34" s="1357"/>
      <c r="IG34" s="1357"/>
      <c r="IH34" s="1357"/>
      <c r="II34" s="1357"/>
      <c r="IJ34" s="1357"/>
      <c r="IK34" s="1357"/>
      <c r="IL34" s="1357"/>
      <c r="IM34" s="1357"/>
      <c r="IN34" s="1357"/>
      <c r="IO34" s="1357"/>
      <c r="IP34" s="1357"/>
      <c r="IQ34" s="1357"/>
      <c r="IR34" s="1357"/>
      <c r="IS34" s="1357"/>
      <c r="IT34" s="1357"/>
      <c r="IU34" s="1357"/>
      <c r="IV34" s="1357"/>
    </row>
    <row r="35" spans="1:256" ht="13" thickTop="1">
      <c r="A35" s="1357"/>
      <c r="B35" s="1371"/>
      <c r="C35" s="1371"/>
      <c r="D35" s="1371"/>
      <c r="E35" s="1371"/>
      <c r="F35" s="1371"/>
      <c r="G35" s="1371"/>
      <c r="H35" s="1371"/>
      <c r="I35" s="1371"/>
      <c r="J35" s="1357"/>
      <c r="K35" s="1357"/>
      <c r="L35" s="1357"/>
      <c r="M35" s="1357"/>
      <c r="N35" s="1357"/>
      <c r="O35" s="1357"/>
      <c r="P35" s="1357"/>
      <c r="Q35" s="1357"/>
      <c r="R35" s="1357"/>
      <c r="S35" s="1357"/>
      <c r="T35" s="1357"/>
      <c r="U35" s="1357"/>
      <c r="V35" s="1357"/>
      <c r="W35" s="1357"/>
      <c r="X35" s="1357"/>
      <c r="Y35" s="1357"/>
      <c r="Z35" s="1357"/>
      <c r="AA35" s="1357"/>
      <c r="AB35" s="1357"/>
      <c r="AC35" s="1357"/>
      <c r="AD35" s="1357"/>
      <c r="AE35" s="1357"/>
      <c r="AF35" s="1357"/>
      <c r="AG35" s="1357"/>
      <c r="AH35" s="1357"/>
      <c r="AI35" s="1357"/>
      <c r="AJ35" s="1357"/>
      <c r="AK35" s="1357"/>
      <c r="AL35" s="1357"/>
      <c r="AM35" s="1357"/>
      <c r="AN35" s="1357"/>
      <c r="AO35" s="1357"/>
      <c r="AP35" s="1357"/>
      <c r="AQ35" s="1357"/>
      <c r="AR35" s="1357"/>
      <c r="AS35" s="1357"/>
      <c r="AT35" s="1357"/>
      <c r="AU35" s="1357"/>
      <c r="AV35" s="1357"/>
      <c r="AW35" s="1357"/>
      <c r="AX35" s="1357"/>
      <c r="AY35" s="1357"/>
      <c r="AZ35" s="1357"/>
      <c r="BA35" s="1357"/>
      <c r="BB35" s="1357"/>
      <c r="BC35" s="1357"/>
      <c r="BD35" s="1357"/>
      <c r="BE35" s="1357"/>
      <c r="BF35" s="1357"/>
      <c r="BG35" s="1357"/>
      <c r="BH35" s="1357"/>
      <c r="BI35" s="1357"/>
      <c r="BJ35" s="1357"/>
      <c r="BK35" s="1357"/>
      <c r="BL35" s="1357"/>
      <c r="BM35" s="1357"/>
      <c r="BN35" s="1357"/>
      <c r="BO35" s="1357"/>
      <c r="BP35" s="1357"/>
      <c r="BQ35" s="1357"/>
      <c r="BR35" s="1357"/>
      <c r="BS35" s="1357"/>
      <c r="BT35" s="1357"/>
      <c r="BU35" s="1357"/>
      <c r="BV35" s="1357"/>
      <c r="BW35" s="1357"/>
      <c r="BX35" s="1357"/>
      <c r="BY35" s="1357"/>
      <c r="BZ35" s="1357"/>
      <c r="CA35" s="1357"/>
      <c r="CB35" s="1357"/>
      <c r="CC35" s="1357"/>
      <c r="CD35" s="1357"/>
      <c r="CE35" s="1357"/>
      <c r="CF35" s="1357"/>
      <c r="CG35" s="1357"/>
      <c r="CH35" s="1357"/>
      <c r="CI35" s="1357"/>
      <c r="CJ35" s="1357"/>
      <c r="CK35" s="1357"/>
      <c r="CL35" s="1357"/>
      <c r="CM35" s="1357"/>
      <c r="CN35" s="1357"/>
      <c r="CO35" s="1357"/>
      <c r="CP35" s="1357"/>
      <c r="CQ35" s="1357"/>
      <c r="CR35" s="1357"/>
      <c r="CS35" s="1357"/>
      <c r="CT35" s="1357"/>
      <c r="CU35" s="1357"/>
      <c r="CV35" s="1357"/>
      <c r="CW35" s="1357"/>
      <c r="CX35" s="1357"/>
      <c r="CY35" s="1357"/>
      <c r="CZ35" s="1357"/>
      <c r="DA35" s="1357"/>
      <c r="DB35" s="1357"/>
      <c r="DC35" s="1357"/>
      <c r="DD35" s="1357"/>
      <c r="DE35" s="1357"/>
      <c r="DF35" s="1357"/>
      <c r="DG35" s="1357"/>
      <c r="DH35" s="1357"/>
      <c r="DI35" s="1357"/>
      <c r="DJ35" s="1357"/>
      <c r="DK35" s="1357"/>
      <c r="DL35" s="1357"/>
      <c r="DM35" s="1357"/>
      <c r="DN35" s="1357"/>
      <c r="DO35" s="1357"/>
      <c r="DP35" s="1357"/>
      <c r="DQ35" s="1357"/>
      <c r="DR35" s="1357"/>
      <c r="DS35" s="1357"/>
      <c r="DT35" s="1357"/>
      <c r="DU35" s="1357"/>
      <c r="DV35" s="1357"/>
      <c r="DW35" s="1357"/>
      <c r="DX35" s="1357"/>
      <c r="DY35" s="1357"/>
      <c r="DZ35" s="1357"/>
      <c r="EA35" s="1357"/>
      <c r="EB35" s="1357"/>
      <c r="EC35" s="1357"/>
      <c r="ED35" s="1357"/>
      <c r="EE35" s="1357"/>
      <c r="EF35" s="1357"/>
      <c r="EG35" s="1357"/>
      <c r="EH35" s="1357"/>
      <c r="EI35" s="1357"/>
      <c r="EJ35" s="1357"/>
      <c r="EK35" s="1357"/>
      <c r="EL35" s="1357"/>
      <c r="EM35" s="1357"/>
      <c r="EN35" s="1357"/>
      <c r="EO35" s="1357"/>
      <c r="EP35" s="1357"/>
      <c r="EQ35" s="1357"/>
      <c r="ER35" s="1357"/>
      <c r="ES35" s="1357"/>
      <c r="ET35" s="1357"/>
      <c r="EU35" s="1357"/>
      <c r="EV35" s="1357"/>
      <c r="EW35" s="1357"/>
      <c r="EX35" s="1357"/>
      <c r="EY35" s="1357"/>
      <c r="EZ35" s="1357"/>
      <c r="FA35" s="1357"/>
      <c r="FB35" s="1357"/>
      <c r="FC35" s="1357"/>
      <c r="FD35" s="1357"/>
      <c r="FE35" s="1357"/>
      <c r="FF35" s="1357"/>
      <c r="FG35" s="1357"/>
      <c r="FH35" s="1357"/>
      <c r="FI35" s="1357"/>
      <c r="FJ35" s="1357"/>
      <c r="FK35" s="1357"/>
      <c r="FL35" s="1357"/>
      <c r="FM35" s="1357"/>
      <c r="FN35" s="1357"/>
      <c r="FO35" s="1357"/>
      <c r="FP35" s="1357"/>
      <c r="FQ35" s="1357"/>
      <c r="FR35" s="1357"/>
      <c r="FS35" s="1357"/>
      <c r="FT35" s="1357"/>
      <c r="FU35" s="1357"/>
      <c r="FV35" s="1357"/>
      <c r="FW35" s="1357"/>
      <c r="FX35" s="1357"/>
      <c r="FY35" s="1357"/>
      <c r="FZ35" s="1357"/>
      <c r="GA35" s="1357"/>
      <c r="GB35" s="1357"/>
      <c r="GC35" s="1357"/>
      <c r="GD35" s="1357"/>
      <c r="GE35" s="1357"/>
      <c r="GF35" s="1357"/>
      <c r="GG35" s="1357"/>
      <c r="GH35" s="1357"/>
      <c r="GI35" s="1357"/>
      <c r="GJ35" s="1357"/>
      <c r="GK35" s="1357"/>
      <c r="GL35" s="1357"/>
      <c r="GM35" s="1357"/>
      <c r="GN35" s="1357"/>
      <c r="GO35" s="1357"/>
      <c r="GP35" s="1357"/>
      <c r="GQ35" s="1357"/>
      <c r="GR35" s="1357"/>
      <c r="GS35" s="1357"/>
      <c r="GT35" s="1357"/>
      <c r="GU35" s="1357"/>
      <c r="GV35" s="1357"/>
      <c r="GW35" s="1357"/>
      <c r="GX35" s="1357"/>
      <c r="GY35" s="1357"/>
      <c r="GZ35" s="1357"/>
      <c r="HA35" s="1357"/>
      <c r="HB35" s="1357"/>
      <c r="HC35" s="1357"/>
      <c r="HD35" s="1357"/>
      <c r="HE35" s="1357"/>
      <c r="HF35" s="1357"/>
      <c r="HG35" s="1357"/>
      <c r="HH35" s="1357"/>
      <c r="HI35" s="1357"/>
      <c r="HJ35" s="1357"/>
      <c r="HK35" s="1357"/>
      <c r="HL35" s="1357"/>
      <c r="HM35" s="1357"/>
      <c r="HN35" s="1357"/>
      <c r="HO35" s="1357"/>
      <c r="HP35" s="1357"/>
      <c r="HQ35" s="1357"/>
      <c r="HR35" s="1357"/>
      <c r="HS35" s="1357"/>
      <c r="HT35" s="1357"/>
      <c r="HU35" s="1357"/>
      <c r="HV35" s="1357"/>
      <c r="HW35" s="1357"/>
      <c r="HX35" s="1357"/>
      <c r="HY35" s="1357"/>
      <c r="HZ35" s="1357"/>
      <c r="IA35" s="1357"/>
      <c r="IB35" s="1357"/>
      <c r="IC35" s="1357"/>
      <c r="ID35" s="1357"/>
      <c r="IE35" s="1357"/>
      <c r="IF35" s="1357"/>
      <c r="IG35" s="1357"/>
      <c r="IH35" s="1357"/>
      <c r="II35" s="1357"/>
      <c r="IJ35" s="1357"/>
      <c r="IK35" s="1357"/>
      <c r="IL35" s="1357"/>
      <c r="IM35" s="1357"/>
      <c r="IN35" s="1357"/>
      <c r="IO35" s="1357"/>
      <c r="IP35" s="1357"/>
      <c r="IQ35" s="1357"/>
      <c r="IR35" s="1357"/>
      <c r="IS35" s="1357"/>
      <c r="IT35" s="1357"/>
      <c r="IU35" s="1357"/>
      <c r="IV35" s="1357"/>
    </row>
    <row r="36" spans="1:256">
      <c r="A36" s="1360" t="s">
        <v>638</v>
      </c>
      <c r="B36" s="1359"/>
      <c r="C36" s="1357"/>
      <c r="D36" s="1359"/>
      <c r="E36" s="2408" t="s">
        <v>345</v>
      </c>
      <c r="F36" s="2408"/>
      <c r="G36" s="1359"/>
      <c r="H36" s="1359"/>
      <c r="I36" s="1359"/>
      <c r="J36" s="1357"/>
      <c r="K36" s="1357"/>
      <c r="L36" s="1357"/>
      <c r="M36" s="1357"/>
      <c r="N36" s="1357"/>
      <c r="O36" s="1357"/>
      <c r="P36" s="1357"/>
      <c r="Q36" s="1357"/>
      <c r="R36" s="1357"/>
      <c r="S36" s="1357"/>
      <c r="T36" s="1357"/>
      <c r="U36" s="1357"/>
      <c r="V36" s="1357"/>
      <c r="W36" s="1357"/>
      <c r="X36" s="1357"/>
      <c r="Y36" s="1357"/>
      <c r="Z36" s="1357"/>
      <c r="AA36" s="1357"/>
      <c r="AB36" s="1357"/>
      <c r="AC36" s="1357"/>
      <c r="AD36" s="1357"/>
      <c r="AE36" s="1357"/>
      <c r="AF36" s="1357"/>
      <c r="AG36" s="1357"/>
      <c r="AH36" s="1357"/>
      <c r="AI36" s="1357"/>
      <c r="AJ36" s="1357"/>
      <c r="AK36" s="1357"/>
      <c r="AL36" s="1357"/>
      <c r="AM36" s="1357"/>
      <c r="AN36" s="1357"/>
      <c r="AO36" s="1357"/>
      <c r="AP36" s="1357"/>
      <c r="AQ36" s="1357"/>
      <c r="AR36" s="1357"/>
      <c r="AS36" s="1357"/>
      <c r="AT36" s="1357"/>
      <c r="AU36" s="1357"/>
      <c r="AV36" s="1357"/>
      <c r="AW36" s="1357"/>
      <c r="AX36" s="1357"/>
      <c r="AY36" s="1357"/>
      <c r="AZ36" s="1357"/>
      <c r="BA36" s="1357"/>
      <c r="BB36" s="1357"/>
      <c r="BC36" s="1357"/>
      <c r="BD36" s="1357"/>
      <c r="BE36" s="1357"/>
      <c r="BF36" s="1357"/>
      <c r="BG36" s="1357"/>
      <c r="BH36" s="1357"/>
      <c r="BI36" s="1357"/>
      <c r="BJ36" s="1357"/>
      <c r="BK36" s="1357"/>
      <c r="BL36" s="1357"/>
      <c r="BM36" s="1357"/>
      <c r="BN36" s="1357"/>
      <c r="BO36" s="1357"/>
      <c r="BP36" s="1357"/>
      <c r="BQ36" s="1357"/>
      <c r="BR36" s="1357"/>
      <c r="BS36" s="1357"/>
      <c r="BT36" s="1357"/>
      <c r="BU36" s="1357"/>
      <c r="BV36" s="1357"/>
      <c r="BW36" s="1357"/>
      <c r="BX36" s="1357"/>
      <c r="BY36" s="1357"/>
      <c r="BZ36" s="1357"/>
      <c r="CA36" s="1357"/>
      <c r="CB36" s="1357"/>
      <c r="CC36" s="1357"/>
      <c r="CD36" s="1357"/>
      <c r="CE36" s="1357"/>
      <c r="CF36" s="1357"/>
      <c r="CG36" s="1357"/>
      <c r="CH36" s="1357"/>
      <c r="CI36" s="1357"/>
      <c r="CJ36" s="1357"/>
      <c r="CK36" s="1357"/>
      <c r="CL36" s="1357"/>
      <c r="CM36" s="1357"/>
      <c r="CN36" s="1357"/>
      <c r="CO36" s="1357"/>
      <c r="CP36" s="1357"/>
      <c r="CQ36" s="1357"/>
      <c r="CR36" s="1357"/>
      <c r="CS36" s="1357"/>
      <c r="CT36" s="1357"/>
      <c r="CU36" s="1357"/>
      <c r="CV36" s="1357"/>
      <c r="CW36" s="1357"/>
      <c r="CX36" s="1357"/>
      <c r="CY36" s="1357"/>
      <c r="CZ36" s="1357"/>
      <c r="DA36" s="1357"/>
      <c r="DB36" s="1357"/>
      <c r="DC36" s="1357"/>
      <c r="DD36" s="1357"/>
      <c r="DE36" s="1357"/>
      <c r="DF36" s="1357"/>
      <c r="DG36" s="1357"/>
      <c r="DH36" s="1357"/>
      <c r="DI36" s="1357"/>
      <c r="DJ36" s="1357"/>
      <c r="DK36" s="1357"/>
      <c r="DL36" s="1357"/>
      <c r="DM36" s="1357"/>
      <c r="DN36" s="1357"/>
      <c r="DO36" s="1357"/>
      <c r="DP36" s="1357"/>
      <c r="DQ36" s="1357"/>
      <c r="DR36" s="1357"/>
      <c r="DS36" s="1357"/>
      <c r="DT36" s="1357"/>
      <c r="DU36" s="1357"/>
      <c r="DV36" s="1357"/>
      <c r="DW36" s="1357"/>
      <c r="DX36" s="1357"/>
      <c r="DY36" s="1357"/>
      <c r="DZ36" s="1357"/>
      <c r="EA36" s="1357"/>
      <c r="EB36" s="1357"/>
      <c r="EC36" s="1357"/>
      <c r="ED36" s="1357"/>
      <c r="EE36" s="1357"/>
      <c r="EF36" s="1357"/>
      <c r="EG36" s="1357"/>
      <c r="EH36" s="1357"/>
      <c r="EI36" s="1357"/>
      <c r="EJ36" s="1357"/>
      <c r="EK36" s="1357"/>
      <c r="EL36" s="1357"/>
      <c r="EM36" s="1357"/>
      <c r="EN36" s="1357"/>
      <c r="EO36" s="1357"/>
      <c r="EP36" s="1357"/>
      <c r="EQ36" s="1357"/>
      <c r="ER36" s="1357"/>
      <c r="ES36" s="1357"/>
      <c r="ET36" s="1357"/>
      <c r="EU36" s="1357"/>
      <c r="EV36" s="1357"/>
      <c r="EW36" s="1357"/>
      <c r="EX36" s="1357"/>
      <c r="EY36" s="1357"/>
      <c r="EZ36" s="1357"/>
      <c r="FA36" s="1357"/>
      <c r="FB36" s="1357"/>
      <c r="FC36" s="1357"/>
      <c r="FD36" s="1357"/>
      <c r="FE36" s="1357"/>
      <c r="FF36" s="1357"/>
      <c r="FG36" s="1357"/>
      <c r="FH36" s="1357"/>
      <c r="FI36" s="1357"/>
      <c r="FJ36" s="1357"/>
      <c r="FK36" s="1357"/>
      <c r="FL36" s="1357"/>
      <c r="FM36" s="1357"/>
      <c r="FN36" s="1357"/>
      <c r="FO36" s="1357"/>
      <c r="FP36" s="1357"/>
      <c r="FQ36" s="1357"/>
      <c r="FR36" s="1357"/>
      <c r="FS36" s="1357"/>
      <c r="FT36" s="1357"/>
      <c r="FU36" s="1357"/>
      <c r="FV36" s="1357"/>
      <c r="FW36" s="1357"/>
      <c r="FX36" s="1357"/>
      <c r="FY36" s="1357"/>
      <c r="FZ36" s="1357"/>
      <c r="GA36" s="1357"/>
      <c r="GB36" s="1357"/>
      <c r="GC36" s="1357"/>
      <c r="GD36" s="1357"/>
      <c r="GE36" s="1357"/>
      <c r="GF36" s="1357"/>
      <c r="GG36" s="1357"/>
      <c r="GH36" s="1357"/>
      <c r="GI36" s="1357"/>
      <c r="GJ36" s="1357"/>
      <c r="GK36" s="1357"/>
      <c r="GL36" s="1357"/>
      <c r="GM36" s="1357"/>
      <c r="GN36" s="1357"/>
      <c r="GO36" s="1357"/>
      <c r="GP36" s="1357"/>
      <c r="GQ36" s="1357"/>
      <c r="GR36" s="1357"/>
      <c r="GS36" s="1357"/>
      <c r="GT36" s="1357"/>
      <c r="GU36" s="1357"/>
      <c r="GV36" s="1357"/>
      <c r="GW36" s="1357"/>
      <c r="GX36" s="1357"/>
      <c r="GY36" s="1357"/>
      <c r="GZ36" s="1357"/>
      <c r="HA36" s="1357"/>
      <c r="HB36" s="1357"/>
      <c r="HC36" s="1357"/>
      <c r="HD36" s="1357"/>
      <c r="HE36" s="1357"/>
      <c r="HF36" s="1357"/>
      <c r="HG36" s="1357"/>
      <c r="HH36" s="1357"/>
      <c r="HI36" s="1357"/>
      <c r="HJ36" s="1357"/>
      <c r="HK36" s="1357"/>
      <c r="HL36" s="1357"/>
      <c r="HM36" s="1357"/>
      <c r="HN36" s="1357"/>
      <c r="HO36" s="1357"/>
      <c r="HP36" s="1357"/>
      <c r="HQ36" s="1357"/>
      <c r="HR36" s="1357"/>
      <c r="HS36" s="1357"/>
      <c r="HT36" s="1357"/>
      <c r="HU36" s="1357"/>
      <c r="HV36" s="1357"/>
      <c r="HW36" s="1357"/>
      <c r="HX36" s="1357"/>
      <c r="HY36" s="1357"/>
      <c r="HZ36" s="1357"/>
      <c r="IA36" s="1357"/>
      <c r="IB36" s="1357"/>
      <c r="IC36" s="1357"/>
      <c r="ID36" s="1357"/>
      <c r="IE36" s="1357"/>
      <c r="IF36" s="1357"/>
      <c r="IG36" s="1357"/>
      <c r="IH36" s="1357"/>
      <c r="II36" s="1357"/>
      <c r="IJ36" s="1357"/>
      <c r="IK36" s="1357"/>
      <c r="IL36" s="1357"/>
      <c r="IM36" s="1357"/>
      <c r="IN36" s="1357"/>
      <c r="IO36" s="1357"/>
      <c r="IP36" s="1357"/>
      <c r="IQ36" s="1357"/>
      <c r="IR36" s="1357"/>
      <c r="IS36" s="1357"/>
      <c r="IT36" s="1357"/>
      <c r="IU36" s="1357"/>
      <c r="IV36" s="1357"/>
    </row>
    <row r="37" spans="1:256">
      <c r="A37" s="1361">
        <f>+A34+1</f>
        <v>20</v>
      </c>
      <c r="B37" s="1362" t="s">
        <v>695</v>
      </c>
      <c r="C37" s="1362"/>
      <c r="D37" s="1362"/>
      <c r="E37" s="1362" t="s">
        <v>524</v>
      </c>
      <c r="F37" s="1359"/>
      <c r="G37" s="1357"/>
      <c r="H37" s="711">
        <v>0</v>
      </c>
      <c r="I37" s="1359"/>
      <c r="J37" s="1357"/>
      <c r="K37" s="1357"/>
      <c r="L37" s="1357"/>
      <c r="M37" s="1357"/>
      <c r="N37" s="1357"/>
      <c r="O37" s="1357"/>
      <c r="P37" s="1357"/>
      <c r="Q37" s="1357"/>
      <c r="R37" s="1357"/>
      <c r="S37" s="1357"/>
      <c r="T37" s="1357"/>
      <c r="U37" s="1357"/>
      <c r="V37" s="1357"/>
      <c r="W37" s="1357"/>
      <c r="X37" s="1357"/>
      <c r="Y37" s="1357"/>
      <c r="Z37" s="1357"/>
      <c r="AA37" s="1357"/>
      <c r="AB37" s="1357"/>
      <c r="AC37" s="1357"/>
      <c r="AD37" s="1357"/>
      <c r="AE37" s="1357"/>
      <c r="AF37" s="1357"/>
      <c r="AG37" s="1357"/>
      <c r="AH37" s="1357"/>
      <c r="AI37" s="1357"/>
      <c r="AJ37" s="1357"/>
      <c r="AK37" s="1357"/>
      <c r="AL37" s="1357"/>
      <c r="AM37" s="1357"/>
      <c r="AN37" s="1357"/>
      <c r="AO37" s="1357"/>
      <c r="AP37" s="1357"/>
      <c r="AQ37" s="1357"/>
      <c r="AR37" s="1357"/>
      <c r="AS37" s="1357"/>
      <c r="AT37" s="1357"/>
      <c r="AU37" s="1357"/>
      <c r="AV37" s="1357"/>
      <c r="AW37" s="1357"/>
      <c r="AX37" s="1357"/>
      <c r="AY37" s="1357"/>
      <c r="AZ37" s="1357"/>
      <c r="BA37" s="1357"/>
      <c r="BB37" s="1357"/>
      <c r="BC37" s="1357"/>
      <c r="BD37" s="1357"/>
      <c r="BE37" s="1357"/>
      <c r="BF37" s="1357"/>
      <c r="BG37" s="1357"/>
      <c r="BH37" s="1357"/>
      <c r="BI37" s="1357"/>
      <c r="BJ37" s="1357"/>
      <c r="BK37" s="1357"/>
      <c r="BL37" s="1357"/>
      <c r="BM37" s="1357"/>
      <c r="BN37" s="1357"/>
      <c r="BO37" s="1357"/>
      <c r="BP37" s="1357"/>
      <c r="BQ37" s="1357"/>
      <c r="BR37" s="1357"/>
      <c r="BS37" s="1357"/>
      <c r="BT37" s="1357"/>
      <c r="BU37" s="1357"/>
      <c r="BV37" s="1357"/>
      <c r="BW37" s="1357"/>
      <c r="BX37" s="1357"/>
      <c r="BY37" s="1357"/>
      <c r="BZ37" s="1357"/>
      <c r="CA37" s="1357"/>
      <c r="CB37" s="1357"/>
      <c r="CC37" s="1357"/>
      <c r="CD37" s="1357"/>
      <c r="CE37" s="1357"/>
      <c r="CF37" s="1357"/>
      <c r="CG37" s="1357"/>
      <c r="CH37" s="1357"/>
      <c r="CI37" s="1357"/>
      <c r="CJ37" s="1357"/>
      <c r="CK37" s="1357"/>
      <c r="CL37" s="1357"/>
      <c r="CM37" s="1357"/>
      <c r="CN37" s="1357"/>
      <c r="CO37" s="1357"/>
      <c r="CP37" s="1357"/>
      <c r="CQ37" s="1357"/>
      <c r="CR37" s="1357"/>
      <c r="CS37" s="1357"/>
      <c r="CT37" s="1357"/>
      <c r="CU37" s="1357"/>
      <c r="CV37" s="1357"/>
      <c r="CW37" s="1357"/>
      <c r="CX37" s="1357"/>
      <c r="CY37" s="1357"/>
      <c r="CZ37" s="1357"/>
      <c r="DA37" s="1357"/>
      <c r="DB37" s="1357"/>
      <c r="DC37" s="1357"/>
      <c r="DD37" s="1357"/>
      <c r="DE37" s="1357"/>
      <c r="DF37" s="1357"/>
      <c r="DG37" s="1357"/>
      <c r="DH37" s="1357"/>
      <c r="DI37" s="1357"/>
      <c r="DJ37" s="1357"/>
      <c r="DK37" s="1357"/>
      <c r="DL37" s="1357"/>
      <c r="DM37" s="1357"/>
      <c r="DN37" s="1357"/>
      <c r="DO37" s="1357"/>
      <c r="DP37" s="1357"/>
      <c r="DQ37" s="1357"/>
      <c r="DR37" s="1357"/>
      <c r="DS37" s="1357"/>
      <c r="DT37" s="1357"/>
      <c r="DU37" s="1357"/>
      <c r="DV37" s="1357"/>
      <c r="DW37" s="1357"/>
      <c r="DX37" s="1357"/>
      <c r="DY37" s="1357"/>
      <c r="DZ37" s="1357"/>
      <c r="EA37" s="1357"/>
      <c r="EB37" s="1357"/>
      <c r="EC37" s="1357"/>
      <c r="ED37" s="1357"/>
      <c r="EE37" s="1357"/>
      <c r="EF37" s="1357"/>
      <c r="EG37" s="1357"/>
      <c r="EH37" s="1357"/>
      <c r="EI37" s="1357"/>
      <c r="EJ37" s="1357"/>
      <c r="EK37" s="1357"/>
      <c r="EL37" s="1357"/>
      <c r="EM37" s="1357"/>
      <c r="EN37" s="1357"/>
      <c r="EO37" s="1357"/>
      <c r="EP37" s="1357"/>
      <c r="EQ37" s="1357"/>
      <c r="ER37" s="1357"/>
      <c r="ES37" s="1357"/>
      <c r="ET37" s="1357"/>
      <c r="EU37" s="1357"/>
      <c r="EV37" s="1357"/>
      <c r="EW37" s="1357"/>
      <c r="EX37" s="1357"/>
      <c r="EY37" s="1357"/>
      <c r="EZ37" s="1357"/>
      <c r="FA37" s="1357"/>
      <c r="FB37" s="1357"/>
      <c r="FC37" s="1357"/>
      <c r="FD37" s="1357"/>
      <c r="FE37" s="1357"/>
      <c r="FF37" s="1357"/>
      <c r="FG37" s="1357"/>
      <c r="FH37" s="1357"/>
      <c r="FI37" s="1357"/>
      <c r="FJ37" s="1357"/>
      <c r="FK37" s="1357"/>
      <c r="FL37" s="1357"/>
      <c r="FM37" s="1357"/>
      <c r="FN37" s="1357"/>
      <c r="FO37" s="1357"/>
      <c r="FP37" s="1357"/>
      <c r="FQ37" s="1357"/>
      <c r="FR37" s="1357"/>
      <c r="FS37" s="1357"/>
      <c r="FT37" s="1357"/>
      <c r="FU37" s="1357"/>
      <c r="FV37" s="1357"/>
      <c r="FW37" s="1357"/>
      <c r="FX37" s="1357"/>
      <c r="FY37" s="1357"/>
      <c r="FZ37" s="1357"/>
      <c r="GA37" s="1357"/>
      <c r="GB37" s="1357"/>
      <c r="GC37" s="1357"/>
      <c r="GD37" s="1357"/>
      <c r="GE37" s="1357"/>
      <c r="GF37" s="1357"/>
      <c r="GG37" s="1357"/>
      <c r="GH37" s="1357"/>
      <c r="GI37" s="1357"/>
      <c r="GJ37" s="1357"/>
      <c r="GK37" s="1357"/>
      <c r="GL37" s="1357"/>
      <c r="GM37" s="1357"/>
      <c r="GN37" s="1357"/>
      <c r="GO37" s="1357"/>
      <c r="GP37" s="1357"/>
      <c r="GQ37" s="1357"/>
      <c r="GR37" s="1357"/>
      <c r="GS37" s="1357"/>
      <c r="GT37" s="1357"/>
      <c r="GU37" s="1357"/>
      <c r="GV37" s="1357"/>
      <c r="GW37" s="1357"/>
      <c r="GX37" s="1357"/>
      <c r="GY37" s="1357"/>
      <c r="GZ37" s="1357"/>
      <c r="HA37" s="1357"/>
      <c r="HB37" s="1357"/>
      <c r="HC37" s="1357"/>
      <c r="HD37" s="1357"/>
      <c r="HE37" s="1357"/>
      <c r="HF37" s="1357"/>
      <c r="HG37" s="1357"/>
      <c r="HH37" s="1357"/>
      <c r="HI37" s="1357"/>
      <c r="HJ37" s="1357"/>
      <c r="HK37" s="1357"/>
      <c r="HL37" s="1357"/>
      <c r="HM37" s="1357"/>
      <c r="HN37" s="1357"/>
      <c r="HO37" s="1357"/>
      <c r="HP37" s="1357"/>
      <c r="HQ37" s="1357"/>
      <c r="HR37" s="1357"/>
      <c r="HS37" s="1357"/>
      <c r="HT37" s="1357"/>
      <c r="HU37" s="1357"/>
      <c r="HV37" s="1357"/>
      <c r="HW37" s="1357"/>
      <c r="HX37" s="1357"/>
      <c r="HY37" s="1357"/>
      <c r="HZ37" s="1357"/>
      <c r="IA37" s="1357"/>
      <c r="IB37" s="1357"/>
      <c r="IC37" s="1357"/>
      <c r="ID37" s="1357"/>
      <c r="IE37" s="1357"/>
      <c r="IF37" s="1357"/>
      <c r="IG37" s="1357"/>
      <c r="IH37" s="1357"/>
      <c r="II37" s="1357"/>
      <c r="IJ37" s="1357"/>
      <c r="IK37" s="1357"/>
      <c r="IL37" s="1357"/>
      <c r="IM37" s="1357"/>
      <c r="IN37" s="1357"/>
      <c r="IO37" s="1357"/>
      <c r="IP37" s="1357"/>
      <c r="IQ37" s="1357"/>
      <c r="IR37" s="1357"/>
      <c r="IS37" s="1357"/>
      <c r="IT37" s="1357"/>
      <c r="IU37" s="1357"/>
      <c r="IV37" s="1357"/>
    </row>
    <row r="38" spans="1:256">
      <c r="A38" s="1361">
        <f>+A37+1</f>
        <v>21</v>
      </c>
      <c r="B38" s="1362" t="s">
        <v>696</v>
      </c>
      <c r="C38" s="1362"/>
      <c r="D38" s="1362"/>
      <c r="E38" s="1362" t="s">
        <v>525</v>
      </c>
      <c r="F38" s="1359"/>
      <c r="G38" s="1357"/>
      <c r="H38" s="711">
        <v>0</v>
      </c>
      <c r="I38" s="1359"/>
      <c r="J38" s="1357"/>
      <c r="K38" s="1357"/>
      <c r="L38" s="1357"/>
      <c r="M38" s="1357"/>
      <c r="N38" s="1357"/>
      <c r="O38" s="1357"/>
      <c r="P38" s="1357"/>
      <c r="Q38" s="1357"/>
      <c r="R38" s="1357"/>
      <c r="S38" s="1357"/>
      <c r="T38" s="1357"/>
      <c r="U38" s="1357"/>
      <c r="V38" s="1357"/>
      <c r="W38" s="1357"/>
      <c r="X38" s="1357"/>
      <c r="Y38" s="1357"/>
      <c r="Z38" s="1357"/>
      <c r="AA38" s="1357"/>
      <c r="AB38" s="1357"/>
      <c r="AC38" s="1357"/>
      <c r="AD38" s="1357"/>
      <c r="AE38" s="1357"/>
      <c r="AF38" s="1357"/>
      <c r="AG38" s="1357"/>
      <c r="AH38" s="1357"/>
      <c r="AI38" s="1357"/>
      <c r="AJ38" s="1357"/>
      <c r="AK38" s="1357"/>
      <c r="AL38" s="1357"/>
      <c r="AM38" s="1357"/>
      <c r="AN38" s="1357"/>
      <c r="AO38" s="1357"/>
      <c r="AP38" s="1357"/>
      <c r="AQ38" s="1357"/>
      <c r="AR38" s="1357"/>
      <c r="AS38" s="1357"/>
      <c r="AT38" s="1357"/>
      <c r="AU38" s="1357"/>
      <c r="AV38" s="1357"/>
      <c r="AW38" s="1357"/>
      <c r="AX38" s="1357"/>
      <c r="AY38" s="1357"/>
      <c r="AZ38" s="1357"/>
      <c r="BA38" s="1357"/>
      <c r="BB38" s="1357"/>
      <c r="BC38" s="1357"/>
      <c r="BD38" s="1357"/>
      <c r="BE38" s="1357"/>
      <c r="BF38" s="1357"/>
      <c r="BG38" s="1357"/>
      <c r="BH38" s="1357"/>
      <c r="BI38" s="1357"/>
      <c r="BJ38" s="1357"/>
      <c r="BK38" s="1357"/>
      <c r="BL38" s="1357"/>
      <c r="BM38" s="1357"/>
      <c r="BN38" s="1357"/>
      <c r="BO38" s="1357"/>
      <c r="BP38" s="1357"/>
      <c r="BQ38" s="1357"/>
      <c r="BR38" s="1357"/>
      <c r="BS38" s="1357"/>
      <c r="BT38" s="1357"/>
      <c r="BU38" s="1357"/>
      <c r="BV38" s="1357"/>
      <c r="BW38" s="1357"/>
      <c r="BX38" s="1357"/>
      <c r="BY38" s="1357"/>
      <c r="BZ38" s="1357"/>
      <c r="CA38" s="1357"/>
      <c r="CB38" s="1357"/>
      <c r="CC38" s="1357"/>
      <c r="CD38" s="1357"/>
      <c r="CE38" s="1357"/>
      <c r="CF38" s="1357"/>
      <c r="CG38" s="1357"/>
      <c r="CH38" s="1357"/>
      <c r="CI38" s="1357"/>
      <c r="CJ38" s="1357"/>
      <c r="CK38" s="1357"/>
      <c r="CL38" s="1357"/>
      <c r="CM38" s="1357"/>
      <c r="CN38" s="1357"/>
      <c r="CO38" s="1357"/>
      <c r="CP38" s="1357"/>
      <c r="CQ38" s="1357"/>
      <c r="CR38" s="1357"/>
      <c r="CS38" s="1357"/>
      <c r="CT38" s="1357"/>
      <c r="CU38" s="1357"/>
      <c r="CV38" s="1357"/>
      <c r="CW38" s="1357"/>
      <c r="CX38" s="1357"/>
      <c r="CY38" s="1357"/>
      <c r="CZ38" s="1357"/>
      <c r="DA38" s="1357"/>
      <c r="DB38" s="1357"/>
      <c r="DC38" s="1357"/>
      <c r="DD38" s="1357"/>
      <c r="DE38" s="1357"/>
      <c r="DF38" s="1357"/>
      <c r="DG38" s="1357"/>
      <c r="DH38" s="1357"/>
      <c r="DI38" s="1357"/>
      <c r="DJ38" s="1357"/>
      <c r="DK38" s="1357"/>
      <c r="DL38" s="1357"/>
      <c r="DM38" s="1357"/>
      <c r="DN38" s="1357"/>
      <c r="DO38" s="1357"/>
      <c r="DP38" s="1357"/>
      <c r="DQ38" s="1357"/>
      <c r="DR38" s="1357"/>
      <c r="DS38" s="1357"/>
      <c r="DT38" s="1357"/>
      <c r="DU38" s="1357"/>
      <c r="DV38" s="1357"/>
      <c r="DW38" s="1357"/>
      <c r="DX38" s="1357"/>
      <c r="DY38" s="1357"/>
      <c r="DZ38" s="1357"/>
      <c r="EA38" s="1357"/>
      <c r="EB38" s="1357"/>
      <c r="EC38" s="1357"/>
      <c r="ED38" s="1357"/>
      <c r="EE38" s="1357"/>
      <c r="EF38" s="1357"/>
      <c r="EG38" s="1357"/>
      <c r="EH38" s="1357"/>
      <c r="EI38" s="1357"/>
      <c r="EJ38" s="1357"/>
      <c r="EK38" s="1357"/>
      <c r="EL38" s="1357"/>
      <c r="EM38" s="1357"/>
      <c r="EN38" s="1357"/>
      <c r="EO38" s="1357"/>
      <c r="EP38" s="1357"/>
      <c r="EQ38" s="1357"/>
      <c r="ER38" s="1357"/>
      <c r="ES38" s="1357"/>
      <c r="ET38" s="1357"/>
      <c r="EU38" s="1357"/>
      <c r="EV38" s="1357"/>
      <c r="EW38" s="1357"/>
      <c r="EX38" s="1357"/>
      <c r="EY38" s="1357"/>
      <c r="EZ38" s="1357"/>
      <c r="FA38" s="1357"/>
      <c r="FB38" s="1357"/>
      <c r="FC38" s="1357"/>
      <c r="FD38" s="1357"/>
      <c r="FE38" s="1357"/>
      <c r="FF38" s="1357"/>
      <c r="FG38" s="1357"/>
      <c r="FH38" s="1357"/>
      <c r="FI38" s="1357"/>
      <c r="FJ38" s="1357"/>
      <c r="FK38" s="1357"/>
      <c r="FL38" s="1357"/>
      <c r="FM38" s="1357"/>
      <c r="FN38" s="1357"/>
      <c r="FO38" s="1357"/>
      <c r="FP38" s="1357"/>
      <c r="FQ38" s="1357"/>
      <c r="FR38" s="1357"/>
      <c r="FS38" s="1357"/>
      <c r="FT38" s="1357"/>
      <c r="FU38" s="1357"/>
      <c r="FV38" s="1357"/>
      <c r="FW38" s="1357"/>
      <c r="FX38" s="1357"/>
      <c r="FY38" s="1357"/>
      <c r="FZ38" s="1357"/>
      <c r="GA38" s="1357"/>
      <c r="GB38" s="1357"/>
      <c r="GC38" s="1357"/>
      <c r="GD38" s="1357"/>
      <c r="GE38" s="1357"/>
      <c r="GF38" s="1357"/>
      <c r="GG38" s="1357"/>
      <c r="GH38" s="1357"/>
      <c r="GI38" s="1357"/>
      <c r="GJ38" s="1357"/>
      <c r="GK38" s="1357"/>
      <c r="GL38" s="1357"/>
      <c r="GM38" s="1357"/>
      <c r="GN38" s="1357"/>
      <c r="GO38" s="1357"/>
      <c r="GP38" s="1357"/>
      <c r="GQ38" s="1357"/>
      <c r="GR38" s="1357"/>
      <c r="GS38" s="1357"/>
      <c r="GT38" s="1357"/>
      <c r="GU38" s="1357"/>
      <c r="GV38" s="1357"/>
      <c r="GW38" s="1357"/>
      <c r="GX38" s="1357"/>
      <c r="GY38" s="1357"/>
      <c r="GZ38" s="1357"/>
      <c r="HA38" s="1357"/>
      <c r="HB38" s="1357"/>
      <c r="HC38" s="1357"/>
      <c r="HD38" s="1357"/>
      <c r="HE38" s="1357"/>
      <c r="HF38" s="1357"/>
      <c r="HG38" s="1357"/>
      <c r="HH38" s="1357"/>
      <c r="HI38" s="1357"/>
      <c r="HJ38" s="1357"/>
      <c r="HK38" s="1357"/>
      <c r="HL38" s="1357"/>
      <c r="HM38" s="1357"/>
      <c r="HN38" s="1357"/>
      <c r="HO38" s="1357"/>
      <c r="HP38" s="1357"/>
      <c r="HQ38" s="1357"/>
      <c r="HR38" s="1357"/>
      <c r="HS38" s="1357"/>
      <c r="HT38" s="1357"/>
      <c r="HU38" s="1357"/>
      <c r="HV38" s="1357"/>
      <c r="HW38" s="1357"/>
      <c r="HX38" s="1357"/>
      <c r="HY38" s="1357"/>
      <c r="HZ38" s="1357"/>
      <c r="IA38" s="1357"/>
      <c r="IB38" s="1357"/>
      <c r="IC38" s="1357"/>
      <c r="ID38" s="1357"/>
      <c r="IE38" s="1357"/>
      <c r="IF38" s="1357"/>
      <c r="IG38" s="1357"/>
      <c r="IH38" s="1357"/>
      <c r="II38" s="1357"/>
      <c r="IJ38" s="1357"/>
      <c r="IK38" s="1357"/>
      <c r="IL38" s="1357"/>
      <c r="IM38" s="1357"/>
      <c r="IN38" s="1357"/>
      <c r="IO38" s="1357"/>
      <c r="IP38" s="1357"/>
      <c r="IQ38" s="1357"/>
      <c r="IR38" s="1357"/>
      <c r="IS38" s="1357"/>
      <c r="IT38" s="1357"/>
      <c r="IU38" s="1357"/>
      <c r="IV38" s="1357"/>
    </row>
    <row r="39" spans="1:256">
      <c r="A39" s="1361">
        <f>+A38+1</f>
        <v>22</v>
      </c>
      <c r="B39" s="1362" t="s">
        <v>508</v>
      </c>
      <c r="C39" s="1362"/>
      <c r="D39" s="1362"/>
      <c r="E39" s="1362" t="str">
        <f>"Line "&amp;A37&amp;" less Line "&amp;A38</f>
        <v>Line 20 less Line 21</v>
      </c>
      <c r="F39" s="1359"/>
      <c r="G39" s="1357"/>
      <c r="H39" s="1363">
        <f>+H37-H38</f>
        <v>0</v>
      </c>
      <c r="I39" s="1359"/>
      <c r="J39" s="1357"/>
      <c r="K39" s="1357"/>
      <c r="L39" s="1357"/>
      <c r="M39" s="1357"/>
      <c r="N39" s="1357"/>
      <c r="O39" s="1357"/>
      <c r="P39" s="1357"/>
      <c r="Q39" s="1357"/>
      <c r="R39" s="1357"/>
      <c r="S39" s="1357"/>
      <c r="T39" s="1357"/>
      <c r="U39" s="1357"/>
      <c r="V39" s="1357"/>
      <c r="W39" s="1357"/>
      <c r="X39" s="1357"/>
      <c r="Y39" s="1357"/>
      <c r="Z39" s="1357"/>
      <c r="AA39" s="1357"/>
      <c r="AB39" s="1357"/>
      <c r="AC39" s="1357"/>
      <c r="AD39" s="1357"/>
      <c r="AE39" s="1357"/>
      <c r="AF39" s="1357"/>
      <c r="AG39" s="1357"/>
      <c r="AH39" s="1357"/>
      <c r="AI39" s="1357"/>
      <c r="AJ39" s="1357"/>
      <c r="AK39" s="1357"/>
      <c r="AL39" s="1357"/>
      <c r="AM39" s="1357"/>
      <c r="AN39" s="1357"/>
      <c r="AO39" s="1357"/>
      <c r="AP39" s="1357"/>
      <c r="AQ39" s="1357"/>
      <c r="AR39" s="1357"/>
      <c r="AS39" s="1357"/>
      <c r="AT39" s="1357"/>
      <c r="AU39" s="1357"/>
      <c r="AV39" s="1357"/>
      <c r="AW39" s="1357"/>
      <c r="AX39" s="1357"/>
      <c r="AY39" s="1357"/>
      <c r="AZ39" s="1357"/>
      <c r="BA39" s="1357"/>
      <c r="BB39" s="1357"/>
      <c r="BC39" s="1357"/>
      <c r="BD39" s="1357"/>
      <c r="BE39" s="1357"/>
      <c r="BF39" s="1357"/>
      <c r="BG39" s="1357"/>
      <c r="BH39" s="1357"/>
      <c r="BI39" s="1357"/>
      <c r="BJ39" s="1357"/>
      <c r="BK39" s="1357"/>
      <c r="BL39" s="1357"/>
      <c r="BM39" s="1357"/>
      <c r="BN39" s="1357"/>
      <c r="BO39" s="1357"/>
      <c r="BP39" s="1357"/>
      <c r="BQ39" s="1357"/>
      <c r="BR39" s="1357"/>
      <c r="BS39" s="1357"/>
      <c r="BT39" s="1357"/>
      <c r="BU39" s="1357"/>
      <c r="BV39" s="1357"/>
      <c r="BW39" s="1357"/>
      <c r="BX39" s="1357"/>
      <c r="BY39" s="1357"/>
      <c r="BZ39" s="1357"/>
      <c r="CA39" s="1357"/>
      <c r="CB39" s="1357"/>
      <c r="CC39" s="1357"/>
      <c r="CD39" s="1357"/>
      <c r="CE39" s="1357"/>
      <c r="CF39" s="1357"/>
      <c r="CG39" s="1357"/>
      <c r="CH39" s="1357"/>
      <c r="CI39" s="1357"/>
      <c r="CJ39" s="1357"/>
      <c r="CK39" s="1357"/>
      <c r="CL39" s="1357"/>
      <c r="CM39" s="1357"/>
      <c r="CN39" s="1357"/>
      <c r="CO39" s="1357"/>
      <c r="CP39" s="1357"/>
      <c r="CQ39" s="1357"/>
      <c r="CR39" s="1357"/>
      <c r="CS39" s="1357"/>
      <c r="CT39" s="1357"/>
      <c r="CU39" s="1357"/>
      <c r="CV39" s="1357"/>
      <c r="CW39" s="1357"/>
      <c r="CX39" s="1357"/>
      <c r="CY39" s="1357"/>
      <c r="CZ39" s="1357"/>
      <c r="DA39" s="1357"/>
      <c r="DB39" s="1357"/>
      <c r="DC39" s="1357"/>
      <c r="DD39" s="1357"/>
      <c r="DE39" s="1357"/>
      <c r="DF39" s="1357"/>
      <c r="DG39" s="1357"/>
      <c r="DH39" s="1357"/>
      <c r="DI39" s="1357"/>
      <c r="DJ39" s="1357"/>
      <c r="DK39" s="1357"/>
      <c r="DL39" s="1357"/>
      <c r="DM39" s="1357"/>
      <c r="DN39" s="1357"/>
      <c r="DO39" s="1357"/>
      <c r="DP39" s="1357"/>
      <c r="DQ39" s="1357"/>
      <c r="DR39" s="1357"/>
      <c r="DS39" s="1357"/>
      <c r="DT39" s="1357"/>
      <c r="DU39" s="1357"/>
      <c r="DV39" s="1357"/>
      <c r="DW39" s="1357"/>
      <c r="DX39" s="1357"/>
      <c r="DY39" s="1357"/>
      <c r="DZ39" s="1357"/>
      <c r="EA39" s="1357"/>
      <c r="EB39" s="1357"/>
      <c r="EC39" s="1357"/>
      <c r="ED39" s="1357"/>
      <c r="EE39" s="1357"/>
      <c r="EF39" s="1357"/>
      <c r="EG39" s="1357"/>
      <c r="EH39" s="1357"/>
      <c r="EI39" s="1357"/>
      <c r="EJ39" s="1357"/>
      <c r="EK39" s="1357"/>
      <c r="EL39" s="1357"/>
      <c r="EM39" s="1357"/>
      <c r="EN39" s="1357"/>
      <c r="EO39" s="1357"/>
      <c r="EP39" s="1357"/>
      <c r="EQ39" s="1357"/>
      <c r="ER39" s="1357"/>
      <c r="ES39" s="1357"/>
      <c r="ET39" s="1357"/>
      <c r="EU39" s="1357"/>
      <c r="EV39" s="1357"/>
      <c r="EW39" s="1357"/>
      <c r="EX39" s="1357"/>
      <c r="EY39" s="1357"/>
      <c r="EZ39" s="1357"/>
      <c r="FA39" s="1357"/>
      <c r="FB39" s="1357"/>
      <c r="FC39" s="1357"/>
      <c r="FD39" s="1357"/>
      <c r="FE39" s="1357"/>
      <c r="FF39" s="1357"/>
      <c r="FG39" s="1357"/>
      <c r="FH39" s="1357"/>
      <c r="FI39" s="1357"/>
      <c r="FJ39" s="1357"/>
      <c r="FK39" s="1357"/>
      <c r="FL39" s="1357"/>
      <c r="FM39" s="1357"/>
      <c r="FN39" s="1357"/>
      <c r="FO39" s="1357"/>
      <c r="FP39" s="1357"/>
      <c r="FQ39" s="1357"/>
      <c r="FR39" s="1357"/>
      <c r="FS39" s="1357"/>
      <c r="FT39" s="1357"/>
      <c r="FU39" s="1357"/>
      <c r="FV39" s="1357"/>
      <c r="FW39" s="1357"/>
      <c r="FX39" s="1357"/>
      <c r="FY39" s="1357"/>
      <c r="FZ39" s="1357"/>
      <c r="GA39" s="1357"/>
      <c r="GB39" s="1357"/>
      <c r="GC39" s="1357"/>
      <c r="GD39" s="1357"/>
      <c r="GE39" s="1357"/>
      <c r="GF39" s="1357"/>
      <c r="GG39" s="1357"/>
      <c r="GH39" s="1357"/>
      <c r="GI39" s="1357"/>
      <c r="GJ39" s="1357"/>
      <c r="GK39" s="1357"/>
      <c r="GL39" s="1357"/>
      <c r="GM39" s="1357"/>
      <c r="GN39" s="1357"/>
      <c r="GO39" s="1357"/>
      <c r="GP39" s="1357"/>
      <c r="GQ39" s="1357"/>
      <c r="GR39" s="1357"/>
      <c r="GS39" s="1357"/>
      <c r="GT39" s="1357"/>
      <c r="GU39" s="1357"/>
      <c r="GV39" s="1357"/>
      <c r="GW39" s="1357"/>
      <c r="GX39" s="1357"/>
      <c r="GY39" s="1357"/>
      <c r="GZ39" s="1357"/>
      <c r="HA39" s="1357"/>
      <c r="HB39" s="1357"/>
      <c r="HC39" s="1357"/>
      <c r="HD39" s="1357"/>
      <c r="HE39" s="1357"/>
      <c r="HF39" s="1357"/>
      <c r="HG39" s="1357"/>
      <c r="HH39" s="1357"/>
      <c r="HI39" s="1357"/>
      <c r="HJ39" s="1357"/>
      <c r="HK39" s="1357"/>
      <c r="HL39" s="1357"/>
      <c r="HM39" s="1357"/>
      <c r="HN39" s="1357"/>
      <c r="HO39" s="1357"/>
      <c r="HP39" s="1357"/>
      <c r="HQ39" s="1357"/>
      <c r="HR39" s="1357"/>
      <c r="HS39" s="1357"/>
      <c r="HT39" s="1357"/>
      <c r="HU39" s="1357"/>
      <c r="HV39" s="1357"/>
      <c r="HW39" s="1357"/>
      <c r="HX39" s="1357"/>
      <c r="HY39" s="1357"/>
      <c r="HZ39" s="1357"/>
      <c r="IA39" s="1357"/>
      <c r="IB39" s="1357"/>
      <c r="IC39" s="1357"/>
      <c r="ID39" s="1357"/>
      <c r="IE39" s="1357"/>
      <c r="IF39" s="1357"/>
      <c r="IG39" s="1357"/>
      <c r="IH39" s="1357"/>
      <c r="II39" s="1357"/>
      <c r="IJ39" s="1357"/>
      <c r="IK39" s="1357"/>
      <c r="IL39" s="1357"/>
      <c r="IM39" s="1357"/>
      <c r="IN39" s="1357"/>
      <c r="IO39" s="1357"/>
      <c r="IP39" s="1357"/>
      <c r="IQ39" s="1357"/>
      <c r="IR39" s="1357"/>
      <c r="IS39" s="1357"/>
      <c r="IT39" s="1357"/>
      <c r="IU39" s="1357"/>
      <c r="IV39" s="1357"/>
    </row>
    <row r="40" spans="1:256">
      <c r="A40" s="1361">
        <f>+A39+1</f>
        <v>23</v>
      </c>
      <c r="B40" s="1362" t="s">
        <v>509</v>
      </c>
      <c r="C40" s="1362"/>
      <c r="D40" s="1362"/>
      <c r="E40" s="1362" t="str">
        <f>"Line "&amp;A39&amp;" / 12"</f>
        <v>Line 22 / 12</v>
      </c>
      <c r="F40" s="1359"/>
      <c r="G40" s="1357"/>
      <c r="H40" s="1364">
        <f>+H39/12</f>
        <v>0</v>
      </c>
      <c r="I40" s="1359"/>
      <c r="J40" s="1357"/>
      <c r="K40" s="1357"/>
      <c r="L40" s="1357"/>
      <c r="M40" s="1357"/>
      <c r="N40" s="1357"/>
      <c r="O40" s="1357"/>
      <c r="P40" s="1357"/>
      <c r="Q40" s="1357"/>
      <c r="R40" s="1357"/>
      <c r="S40" s="1357"/>
      <c r="T40" s="1357"/>
      <c r="U40" s="1357"/>
      <c r="V40" s="1357"/>
      <c r="W40" s="1357"/>
      <c r="X40" s="1357"/>
      <c r="Y40" s="1357"/>
      <c r="Z40" s="1357"/>
      <c r="AA40" s="1357"/>
      <c r="AB40" s="1357"/>
      <c r="AC40" s="1357"/>
      <c r="AD40" s="1357"/>
      <c r="AE40" s="1357"/>
      <c r="AF40" s="1357"/>
      <c r="AG40" s="1357"/>
      <c r="AH40" s="1357"/>
      <c r="AI40" s="1357"/>
      <c r="AJ40" s="1357"/>
      <c r="AK40" s="1357"/>
      <c r="AL40" s="1357"/>
      <c r="AM40" s="1357"/>
      <c r="AN40" s="1357"/>
      <c r="AO40" s="1357"/>
      <c r="AP40" s="1357"/>
      <c r="AQ40" s="1357"/>
      <c r="AR40" s="1357"/>
      <c r="AS40" s="1357"/>
      <c r="AT40" s="1357"/>
      <c r="AU40" s="1357"/>
      <c r="AV40" s="1357"/>
      <c r="AW40" s="1357"/>
      <c r="AX40" s="1357"/>
      <c r="AY40" s="1357"/>
      <c r="AZ40" s="1357"/>
      <c r="BA40" s="1357"/>
      <c r="BB40" s="1357"/>
      <c r="BC40" s="1357"/>
      <c r="BD40" s="1357"/>
      <c r="BE40" s="1357"/>
      <c r="BF40" s="1357"/>
      <c r="BG40" s="1357"/>
      <c r="BH40" s="1357"/>
      <c r="BI40" s="1357"/>
      <c r="BJ40" s="1357"/>
      <c r="BK40" s="1357"/>
      <c r="BL40" s="1357"/>
      <c r="BM40" s="1357"/>
      <c r="BN40" s="1357"/>
      <c r="BO40" s="1357"/>
      <c r="BP40" s="1357"/>
      <c r="BQ40" s="1357"/>
      <c r="BR40" s="1357"/>
      <c r="BS40" s="1357"/>
      <c r="BT40" s="1357"/>
      <c r="BU40" s="1357"/>
      <c r="BV40" s="1357"/>
      <c r="BW40" s="1357"/>
      <c r="BX40" s="1357"/>
      <c r="BY40" s="1357"/>
      <c r="BZ40" s="1357"/>
      <c r="CA40" s="1357"/>
      <c r="CB40" s="1357"/>
      <c r="CC40" s="1357"/>
      <c r="CD40" s="1357"/>
      <c r="CE40" s="1357"/>
      <c r="CF40" s="1357"/>
      <c r="CG40" s="1357"/>
      <c r="CH40" s="1357"/>
      <c r="CI40" s="1357"/>
      <c r="CJ40" s="1357"/>
      <c r="CK40" s="1357"/>
      <c r="CL40" s="1357"/>
      <c r="CM40" s="1357"/>
      <c r="CN40" s="1357"/>
      <c r="CO40" s="1357"/>
      <c r="CP40" s="1357"/>
      <c r="CQ40" s="1357"/>
      <c r="CR40" s="1357"/>
      <c r="CS40" s="1357"/>
      <c r="CT40" s="1357"/>
      <c r="CU40" s="1357"/>
      <c r="CV40" s="1357"/>
      <c r="CW40" s="1357"/>
      <c r="CX40" s="1357"/>
      <c r="CY40" s="1357"/>
      <c r="CZ40" s="1357"/>
      <c r="DA40" s="1357"/>
      <c r="DB40" s="1357"/>
      <c r="DC40" s="1357"/>
      <c r="DD40" s="1357"/>
      <c r="DE40" s="1357"/>
      <c r="DF40" s="1357"/>
      <c r="DG40" s="1357"/>
      <c r="DH40" s="1357"/>
      <c r="DI40" s="1357"/>
      <c r="DJ40" s="1357"/>
      <c r="DK40" s="1357"/>
      <c r="DL40" s="1357"/>
      <c r="DM40" s="1357"/>
      <c r="DN40" s="1357"/>
      <c r="DO40" s="1357"/>
      <c r="DP40" s="1357"/>
      <c r="DQ40" s="1357"/>
      <c r="DR40" s="1357"/>
      <c r="DS40" s="1357"/>
      <c r="DT40" s="1357"/>
      <c r="DU40" s="1357"/>
      <c r="DV40" s="1357"/>
      <c r="DW40" s="1357"/>
      <c r="DX40" s="1357"/>
      <c r="DY40" s="1357"/>
      <c r="DZ40" s="1357"/>
      <c r="EA40" s="1357"/>
      <c r="EB40" s="1357"/>
      <c r="EC40" s="1357"/>
      <c r="ED40" s="1357"/>
      <c r="EE40" s="1357"/>
      <c r="EF40" s="1357"/>
      <c r="EG40" s="1357"/>
      <c r="EH40" s="1357"/>
      <c r="EI40" s="1357"/>
      <c r="EJ40" s="1357"/>
      <c r="EK40" s="1357"/>
      <c r="EL40" s="1357"/>
      <c r="EM40" s="1357"/>
      <c r="EN40" s="1357"/>
      <c r="EO40" s="1357"/>
      <c r="EP40" s="1357"/>
      <c r="EQ40" s="1357"/>
      <c r="ER40" s="1357"/>
      <c r="ES40" s="1357"/>
      <c r="ET40" s="1357"/>
      <c r="EU40" s="1357"/>
      <c r="EV40" s="1357"/>
      <c r="EW40" s="1357"/>
      <c r="EX40" s="1357"/>
      <c r="EY40" s="1357"/>
      <c r="EZ40" s="1357"/>
      <c r="FA40" s="1357"/>
      <c r="FB40" s="1357"/>
      <c r="FC40" s="1357"/>
      <c r="FD40" s="1357"/>
      <c r="FE40" s="1357"/>
      <c r="FF40" s="1357"/>
      <c r="FG40" s="1357"/>
      <c r="FH40" s="1357"/>
      <c r="FI40" s="1357"/>
      <c r="FJ40" s="1357"/>
      <c r="FK40" s="1357"/>
      <c r="FL40" s="1357"/>
      <c r="FM40" s="1357"/>
      <c r="FN40" s="1357"/>
      <c r="FO40" s="1357"/>
      <c r="FP40" s="1357"/>
      <c r="FQ40" s="1357"/>
      <c r="FR40" s="1357"/>
      <c r="FS40" s="1357"/>
      <c r="FT40" s="1357"/>
      <c r="FU40" s="1357"/>
      <c r="FV40" s="1357"/>
      <c r="FW40" s="1357"/>
      <c r="FX40" s="1357"/>
      <c r="FY40" s="1357"/>
      <c r="FZ40" s="1357"/>
      <c r="GA40" s="1357"/>
      <c r="GB40" s="1357"/>
      <c r="GC40" s="1357"/>
      <c r="GD40" s="1357"/>
      <c r="GE40" s="1357"/>
      <c r="GF40" s="1357"/>
      <c r="GG40" s="1357"/>
      <c r="GH40" s="1357"/>
      <c r="GI40" s="1357"/>
      <c r="GJ40" s="1357"/>
      <c r="GK40" s="1357"/>
      <c r="GL40" s="1357"/>
      <c r="GM40" s="1357"/>
      <c r="GN40" s="1357"/>
      <c r="GO40" s="1357"/>
      <c r="GP40" s="1357"/>
      <c r="GQ40" s="1357"/>
      <c r="GR40" s="1357"/>
      <c r="GS40" s="1357"/>
      <c r="GT40" s="1357"/>
      <c r="GU40" s="1357"/>
      <c r="GV40" s="1357"/>
      <c r="GW40" s="1357"/>
      <c r="GX40" s="1357"/>
      <c r="GY40" s="1357"/>
      <c r="GZ40" s="1357"/>
      <c r="HA40" s="1357"/>
      <c r="HB40" s="1357"/>
      <c r="HC40" s="1357"/>
      <c r="HD40" s="1357"/>
      <c r="HE40" s="1357"/>
      <c r="HF40" s="1357"/>
      <c r="HG40" s="1357"/>
      <c r="HH40" s="1357"/>
      <c r="HI40" s="1357"/>
      <c r="HJ40" s="1357"/>
      <c r="HK40" s="1357"/>
      <c r="HL40" s="1357"/>
      <c r="HM40" s="1357"/>
      <c r="HN40" s="1357"/>
      <c r="HO40" s="1357"/>
      <c r="HP40" s="1357"/>
      <c r="HQ40" s="1357"/>
      <c r="HR40" s="1357"/>
      <c r="HS40" s="1357"/>
      <c r="HT40" s="1357"/>
      <c r="HU40" s="1357"/>
      <c r="HV40" s="1357"/>
      <c r="HW40" s="1357"/>
      <c r="HX40" s="1357"/>
      <c r="HY40" s="1357"/>
      <c r="HZ40" s="1357"/>
      <c r="IA40" s="1357"/>
      <c r="IB40" s="1357"/>
      <c r="IC40" s="1357"/>
      <c r="ID40" s="1357"/>
      <c r="IE40" s="1357"/>
      <c r="IF40" s="1357"/>
      <c r="IG40" s="1357"/>
      <c r="IH40" s="1357"/>
      <c r="II40" s="1357"/>
      <c r="IJ40" s="1357"/>
      <c r="IK40" s="1357"/>
      <c r="IL40" s="1357"/>
      <c r="IM40" s="1357"/>
      <c r="IN40" s="1357"/>
      <c r="IO40" s="1357"/>
      <c r="IP40" s="1357"/>
      <c r="IQ40" s="1357"/>
      <c r="IR40" s="1357"/>
      <c r="IS40" s="1357"/>
      <c r="IT40" s="1357"/>
      <c r="IU40" s="1357"/>
      <c r="IV40" s="1357"/>
    </row>
    <row r="41" spans="1:256">
      <c r="A41" s="1362"/>
      <c r="B41" s="1362"/>
      <c r="C41" s="1362"/>
      <c r="D41" s="1362"/>
      <c r="E41" s="1359"/>
      <c r="F41" s="1359"/>
      <c r="G41" s="1359"/>
      <c r="H41" s="1359"/>
      <c r="I41" s="1359"/>
      <c r="J41" s="1357"/>
      <c r="K41" s="1357"/>
      <c r="L41" s="1357"/>
      <c r="M41" s="1357"/>
      <c r="N41" s="1357"/>
      <c r="O41" s="1357"/>
      <c r="P41" s="1357"/>
      <c r="Q41" s="1357"/>
      <c r="R41" s="1357"/>
      <c r="S41" s="1357"/>
      <c r="T41" s="1357"/>
      <c r="U41" s="1357"/>
      <c r="V41" s="1357"/>
      <c r="W41" s="1357"/>
      <c r="X41" s="1357"/>
      <c r="Y41" s="1357"/>
      <c r="Z41" s="1357"/>
      <c r="AA41" s="1357"/>
      <c r="AB41" s="1357"/>
      <c r="AC41" s="1357"/>
      <c r="AD41" s="1357"/>
      <c r="AE41" s="1357"/>
      <c r="AF41" s="1357"/>
      <c r="AG41" s="1357"/>
      <c r="AH41" s="1357"/>
      <c r="AI41" s="1357"/>
      <c r="AJ41" s="1357"/>
      <c r="AK41" s="1357"/>
      <c r="AL41" s="1357"/>
      <c r="AM41" s="1357"/>
      <c r="AN41" s="1357"/>
      <c r="AO41" s="1357"/>
      <c r="AP41" s="1357"/>
      <c r="AQ41" s="1357"/>
      <c r="AR41" s="1357"/>
      <c r="AS41" s="1357"/>
      <c r="AT41" s="1357"/>
      <c r="AU41" s="1357"/>
      <c r="AV41" s="1357"/>
      <c r="AW41" s="1357"/>
      <c r="AX41" s="1357"/>
      <c r="AY41" s="1357"/>
      <c r="AZ41" s="1357"/>
      <c r="BA41" s="1357"/>
      <c r="BB41" s="1357"/>
      <c r="BC41" s="1357"/>
      <c r="BD41" s="1357"/>
      <c r="BE41" s="1357"/>
      <c r="BF41" s="1357"/>
      <c r="BG41" s="1357"/>
      <c r="BH41" s="1357"/>
      <c r="BI41" s="1357"/>
      <c r="BJ41" s="1357"/>
      <c r="BK41" s="1357"/>
      <c r="BL41" s="1357"/>
      <c r="BM41" s="1357"/>
      <c r="BN41" s="1357"/>
      <c r="BO41" s="1357"/>
      <c r="BP41" s="1357"/>
      <c r="BQ41" s="1357"/>
      <c r="BR41" s="1357"/>
      <c r="BS41" s="1357"/>
      <c r="BT41" s="1357"/>
      <c r="BU41" s="1357"/>
      <c r="BV41" s="1357"/>
      <c r="BW41" s="1357"/>
      <c r="BX41" s="1357"/>
      <c r="BY41" s="1357"/>
      <c r="BZ41" s="1357"/>
      <c r="CA41" s="1357"/>
      <c r="CB41" s="1357"/>
      <c r="CC41" s="1357"/>
      <c r="CD41" s="1357"/>
      <c r="CE41" s="1357"/>
      <c r="CF41" s="1357"/>
      <c r="CG41" s="1357"/>
      <c r="CH41" s="1357"/>
      <c r="CI41" s="1357"/>
      <c r="CJ41" s="1357"/>
      <c r="CK41" s="1357"/>
      <c r="CL41" s="1357"/>
      <c r="CM41" s="1357"/>
      <c r="CN41" s="1357"/>
      <c r="CO41" s="1357"/>
      <c r="CP41" s="1357"/>
      <c r="CQ41" s="1357"/>
      <c r="CR41" s="1357"/>
      <c r="CS41" s="1357"/>
      <c r="CT41" s="1357"/>
      <c r="CU41" s="1357"/>
      <c r="CV41" s="1357"/>
      <c r="CW41" s="1357"/>
      <c r="CX41" s="1357"/>
      <c r="CY41" s="1357"/>
      <c r="CZ41" s="1357"/>
      <c r="DA41" s="1357"/>
      <c r="DB41" s="1357"/>
      <c r="DC41" s="1357"/>
      <c r="DD41" s="1357"/>
      <c r="DE41" s="1357"/>
      <c r="DF41" s="1357"/>
      <c r="DG41" s="1357"/>
      <c r="DH41" s="1357"/>
      <c r="DI41" s="1357"/>
      <c r="DJ41" s="1357"/>
      <c r="DK41" s="1357"/>
      <c r="DL41" s="1357"/>
      <c r="DM41" s="1357"/>
      <c r="DN41" s="1357"/>
      <c r="DO41" s="1357"/>
      <c r="DP41" s="1357"/>
      <c r="DQ41" s="1357"/>
      <c r="DR41" s="1357"/>
      <c r="DS41" s="1357"/>
      <c r="DT41" s="1357"/>
      <c r="DU41" s="1357"/>
      <c r="DV41" s="1357"/>
      <c r="DW41" s="1357"/>
      <c r="DX41" s="1357"/>
      <c r="DY41" s="1357"/>
      <c r="DZ41" s="1357"/>
      <c r="EA41" s="1357"/>
      <c r="EB41" s="1357"/>
      <c r="EC41" s="1357"/>
      <c r="ED41" s="1357"/>
      <c r="EE41" s="1357"/>
      <c r="EF41" s="1357"/>
      <c r="EG41" s="1357"/>
      <c r="EH41" s="1357"/>
      <c r="EI41" s="1357"/>
      <c r="EJ41" s="1357"/>
      <c r="EK41" s="1357"/>
      <c r="EL41" s="1357"/>
      <c r="EM41" s="1357"/>
      <c r="EN41" s="1357"/>
      <c r="EO41" s="1357"/>
      <c r="EP41" s="1357"/>
      <c r="EQ41" s="1357"/>
      <c r="ER41" s="1357"/>
      <c r="ES41" s="1357"/>
      <c r="ET41" s="1357"/>
      <c r="EU41" s="1357"/>
      <c r="EV41" s="1357"/>
      <c r="EW41" s="1357"/>
      <c r="EX41" s="1357"/>
      <c r="EY41" s="1357"/>
      <c r="EZ41" s="1357"/>
      <c r="FA41" s="1357"/>
      <c r="FB41" s="1357"/>
      <c r="FC41" s="1357"/>
      <c r="FD41" s="1357"/>
      <c r="FE41" s="1357"/>
      <c r="FF41" s="1357"/>
      <c r="FG41" s="1357"/>
      <c r="FH41" s="1357"/>
      <c r="FI41" s="1357"/>
      <c r="FJ41" s="1357"/>
      <c r="FK41" s="1357"/>
      <c r="FL41" s="1357"/>
      <c r="FM41" s="1357"/>
      <c r="FN41" s="1357"/>
      <c r="FO41" s="1357"/>
      <c r="FP41" s="1357"/>
      <c r="FQ41" s="1357"/>
      <c r="FR41" s="1357"/>
      <c r="FS41" s="1357"/>
      <c r="FT41" s="1357"/>
      <c r="FU41" s="1357"/>
      <c r="FV41" s="1357"/>
      <c r="FW41" s="1357"/>
      <c r="FX41" s="1357"/>
      <c r="FY41" s="1357"/>
      <c r="FZ41" s="1357"/>
      <c r="GA41" s="1357"/>
      <c r="GB41" s="1357"/>
      <c r="GC41" s="1357"/>
      <c r="GD41" s="1357"/>
      <c r="GE41" s="1357"/>
      <c r="GF41" s="1357"/>
      <c r="GG41" s="1357"/>
      <c r="GH41" s="1357"/>
      <c r="GI41" s="1357"/>
      <c r="GJ41" s="1357"/>
      <c r="GK41" s="1357"/>
      <c r="GL41" s="1357"/>
      <c r="GM41" s="1357"/>
      <c r="GN41" s="1357"/>
      <c r="GO41" s="1357"/>
      <c r="GP41" s="1357"/>
      <c r="GQ41" s="1357"/>
      <c r="GR41" s="1357"/>
      <c r="GS41" s="1357"/>
      <c r="GT41" s="1357"/>
      <c r="GU41" s="1357"/>
      <c r="GV41" s="1357"/>
      <c r="GW41" s="1357"/>
      <c r="GX41" s="1357"/>
      <c r="GY41" s="1357"/>
      <c r="GZ41" s="1357"/>
      <c r="HA41" s="1357"/>
      <c r="HB41" s="1357"/>
      <c r="HC41" s="1357"/>
      <c r="HD41" s="1357"/>
      <c r="HE41" s="1357"/>
      <c r="HF41" s="1357"/>
      <c r="HG41" s="1357"/>
      <c r="HH41" s="1357"/>
      <c r="HI41" s="1357"/>
      <c r="HJ41" s="1357"/>
      <c r="HK41" s="1357"/>
      <c r="HL41" s="1357"/>
      <c r="HM41" s="1357"/>
      <c r="HN41" s="1357"/>
      <c r="HO41" s="1357"/>
      <c r="HP41" s="1357"/>
      <c r="HQ41" s="1357"/>
      <c r="HR41" s="1357"/>
      <c r="HS41" s="1357"/>
      <c r="HT41" s="1357"/>
      <c r="HU41" s="1357"/>
      <c r="HV41" s="1357"/>
      <c r="HW41" s="1357"/>
      <c r="HX41" s="1357"/>
      <c r="HY41" s="1357"/>
      <c r="HZ41" s="1357"/>
      <c r="IA41" s="1357"/>
      <c r="IB41" s="1357"/>
      <c r="IC41" s="1357"/>
      <c r="ID41" s="1357"/>
      <c r="IE41" s="1357"/>
      <c r="IF41" s="1357"/>
      <c r="IG41" s="1357"/>
      <c r="IH41" s="1357"/>
      <c r="II41" s="1357"/>
      <c r="IJ41" s="1357"/>
      <c r="IK41" s="1357"/>
      <c r="IL41" s="1357"/>
      <c r="IM41" s="1357"/>
      <c r="IN41" s="1357"/>
      <c r="IO41" s="1357"/>
      <c r="IP41" s="1357"/>
      <c r="IQ41" s="1357"/>
      <c r="IR41" s="1357"/>
      <c r="IS41" s="1357"/>
      <c r="IT41" s="1357"/>
      <c r="IU41" s="1357"/>
      <c r="IV41" s="1357"/>
    </row>
    <row r="42" spans="1:256" ht="15">
      <c r="A42" s="1357"/>
      <c r="B42" s="1365" t="s">
        <v>301</v>
      </c>
      <c r="C42" s="1365" t="s">
        <v>302</v>
      </c>
      <c r="D42" s="1365" t="s">
        <v>47</v>
      </c>
      <c r="E42" s="1365" t="s">
        <v>304</v>
      </c>
      <c r="F42" s="1365" t="s">
        <v>229</v>
      </c>
      <c r="G42" s="1365" t="s">
        <v>230</v>
      </c>
      <c r="H42" s="1365" t="s">
        <v>231</v>
      </c>
      <c r="I42" s="1365" t="s">
        <v>236</v>
      </c>
      <c r="J42" s="1357"/>
      <c r="K42" s="1357"/>
      <c r="L42" s="1357"/>
      <c r="M42" s="1357"/>
      <c r="N42" s="1357"/>
      <c r="O42" s="1357"/>
      <c r="P42" s="1357"/>
      <c r="Q42" s="1357"/>
      <c r="R42" s="1357"/>
      <c r="S42" s="1357"/>
      <c r="T42" s="1357"/>
      <c r="U42" s="1357"/>
      <c r="V42" s="1357"/>
      <c r="W42" s="1357"/>
      <c r="X42" s="1357"/>
      <c r="Y42" s="1357"/>
      <c r="Z42" s="1357"/>
      <c r="AA42" s="1357"/>
      <c r="AB42" s="1357"/>
      <c r="AC42" s="1357"/>
      <c r="AD42" s="1357"/>
      <c r="AE42" s="1357"/>
      <c r="AF42" s="1357"/>
      <c r="AG42" s="1357"/>
      <c r="AH42" s="1357"/>
      <c r="AI42" s="1357"/>
      <c r="AJ42" s="1357"/>
      <c r="AK42" s="1357"/>
      <c r="AL42" s="1357"/>
      <c r="AM42" s="1357"/>
      <c r="AN42" s="1357"/>
      <c r="AO42" s="1357"/>
      <c r="AP42" s="1357"/>
      <c r="AQ42" s="1357"/>
      <c r="AR42" s="1357"/>
      <c r="AS42" s="1357"/>
      <c r="AT42" s="1357"/>
      <c r="AU42" s="1357"/>
      <c r="AV42" s="1357"/>
      <c r="AW42" s="1357"/>
      <c r="AX42" s="1357"/>
      <c r="AY42" s="1357"/>
      <c r="AZ42" s="1357"/>
      <c r="BA42" s="1357"/>
      <c r="BB42" s="1357"/>
      <c r="BC42" s="1357"/>
      <c r="BD42" s="1357"/>
      <c r="BE42" s="1357"/>
      <c r="BF42" s="1357"/>
      <c r="BG42" s="1357"/>
      <c r="BH42" s="1357"/>
      <c r="BI42" s="1357"/>
      <c r="BJ42" s="1357"/>
      <c r="BK42" s="1357"/>
      <c r="BL42" s="1357"/>
      <c r="BM42" s="1357"/>
      <c r="BN42" s="1357"/>
      <c r="BO42" s="1357"/>
      <c r="BP42" s="1357"/>
      <c r="BQ42" s="1357"/>
      <c r="BR42" s="1357"/>
      <c r="BS42" s="1357"/>
      <c r="BT42" s="1357"/>
      <c r="BU42" s="1357"/>
      <c r="BV42" s="1357"/>
      <c r="BW42" s="1357"/>
      <c r="BX42" s="1357"/>
      <c r="BY42" s="1357"/>
      <c r="BZ42" s="1357"/>
      <c r="CA42" s="1357"/>
      <c r="CB42" s="1357"/>
      <c r="CC42" s="1357"/>
      <c r="CD42" s="1357"/>
      <c r="CE42" s="1357"/>
      <c r="CF42" s="1357"/>
      <c r="CG42" s="1357"/>
      <c r="CH42" s="1357"/>
      <c r="CI42" s="1357"/>
      <c r="CJ42" s="1357"/>
      <c r="CK42" s="1357"/>
      <c r="CL42" s="1357"/>
      <c r="CM42" s="1357"/>
      <c r="CN42" s="1357"/>
      <c r="CO42" s="1357"/>
      <c r="CP42" s="1357"/>
      <c r="CQ42" s="1357"/>
      <c r="CR42" s="1357"/>
      <c r="CS42" s="1357"/>
      <c r="CT42" s="1357"/>
      <c r="CU42" s="1357"/>
      <c r="CV42" s="1357"/>
      <c r="CW42" s="1357"/>
      <c r="CX42" s="1357"/>
      <c r="CY42" s="1357"/>
      <c r="CZ42" s="1357"/>
      <c r="DA42" s="1357"/>
      <c r="DB42" s="1357"/>
      <c r="DC42" s="1357"/>
      <c r="DD42" s="1357"/>
      <c r="DE42" s="1357"/>
      <c r="DF42" s="1357"/>
      <c r="DG42" s="1357"/>
      <c r="DH42" s="1357"/>
      <c r="DI42" s="1357"/>
      <c r="DJ42" s="1357"/>
      <c r="DK42" s="1357"/>
      <c r="DL42" s="1357"/>
      <c r="DM42" s="1357"/>
      <c r="DN42" s="1357"/>
      <c r="DO42" s="1357"/>
      <c r="DP42" s="1357"/>
      <c r="DQ42" s="1357"/>
      <c r="DR42" s="1357"/>
      <c r="DS42" s="1357"/>
      <c r="DT42" s="1357"/>
      <c r="DU42" s="1357"/>
      <c r="DV42" s="1357"/>
      <c r="DW42" s="1357"/>
      <c r="DX42" s="1357"/>
      <c r="DY42" s="1357"/>
      <c r="DZ42" s="1357"/>
      <c r="EA42" s="1357"/>
      <c r="EB42" s="1357"/>
      <c r="EC42" s="1357"/>
      <c r="ED42" s="1357"/>
      <c r="EE42" s="1357"/>
      <c r="EF42" s="1357"/>
      <c r="EG42" s="1357"/>
      <c r="EH42" s="1357"/>
      <c r="EI42" s="1357"/>
      <c r="EJ42" s="1357"/>
      <c r="EK42" s="1357"/>
      <c r="EL42" s="1357"/>
      <c r="EM42" s="1357"/>
      <c r="EN42" s="1357"/>
      <c r="EO42" s="1357"/>
      <c r="EP42" s="1357"/>
      <c r="EQ42" s="1357"/>
      <c r="ER42" s="1357"/>
      <c r="ES42" s="1357"/>
      <c r="ET42" s="1357"/>
      <c r="EU42" s="1357"/>
      <c r="EV42" s="1357"/>
      <c r="EW42" s="1357"/>
      <c r="EX42" s="1357"/>
      <c r="EY42" s="1357"/>
      <c r="EZ42" s="1357"/>
      <c r="FA42" s="1357"/>
      <c r="FB42" s="1357"/>
      <c r="FC42" s="1357"/>
      <c r="FD42" s="1357"/>
      <c r="FE42" s="1357"/>
      <c r="FF42" s="1357"/>
      <c r="FG42" s="1357"/>
      <c r="FH42" s="1357"/>
      <c r="FI42" s="1357"/>
      <c r="FJ42" s="1357"/>
      <c r="FK42" s="1357"/>
      <c r="FL42" s="1357"/>
      <c r="FM42" s="1357"/>
      <c r="FN42" s="1357"/>
      <c r="FO42" s="1357"/>
      <c r="FP42" s="1357"/>
      <c r="FQ42" s="1357"/>
      <c r="FR42" s="1357"/>
      <c r="FS42" s="1357"/>
      <c r="FT42" s="1357"/>
      <c r="FU42" s="1357"/>
      <c r="FV42" s="1357"/>
      <c r="FW42" s="1357"/>
      <c r="FX42" s="1357"/>
      <c r="FY42" s="1357"/>
      <c r="FZ42" s="1357"/>
      <c r="GA42" s="1357"/>
      <c r="GB42" s="1357"/>
      <c r="GC42" s="1357"/>
      <c r="GD42" s="1357"/>
      <c r="GE42" s="1357"/>
      <c r="GF42" s="1357"/>
      <c r="GG42" s="1357"/>
      <c r="GH42" s="1357"/>
      <c r="GI42" s="1357"/>
      <c r="GJ42" s="1357"/>
      <c r="GK42" s="1357"/>
      <c r="GL42" s="1357"/>
      <c r="GM42" s="1357"/>
      <c r="GN42" s="1357"/>
      <c r="GO42" s="1357"/>
      <c r="GP42" s="1357"/>
      <c r="GQ42" s="1357"/>
      <c r="GR42" s="1357"/>
      <c r="GS42" s="1357"/>
      <c r="GT42" s="1357"/>
      <c r="GU42" s="1357"/>
      <c r="GV42" s="1357"/>
      <c r="GW42" s="1357"/>
      <c r="GX42" s="1357"/>
      <c r="GY42" s="1357"/>
      <c r="GZ42" s="1357"/>
      <c r="HA42" s="1357"/>
      <c r="HB42" s="1357"/>
      <c r="HC42" s="1357"/>
      <c r="HD42" s="1357"/>
      <c r="HE42" s="1357"/>
      <c r="HF42" s="1357"/>
      <c r="HG42" s="1357"/>
      <c r="HH42" s="1357"/>
      <c r="HI42" s="1357"/>
      <c r="HJ42" s="1357"/>
      <c r="HK42" s="1357"/>
      <c r="HL42" s="1357"/>
      <c r="HM42" s="1357"/>
      <c r="HN42" s="1357"/>
      <c r="HO42" s="1357"/>
      <c r="HP42" s="1357"/>
      <c r="HQ42" s="1357"/>
      <c r="HR42" s="1357"/>
      <c r="HS42" s="1357"/>
      <c r="HT42" s="1357"/>
      <c r="HU42" s="1357"/>
      <c r="HV42" s="1357"/>
      <c r="HW42" s="1357"/>
      <c r="HX42" s="1357"/>
      <c r="HY42" s="1357"/>
      <c r="HZ42" s="1357"/>
      <c r="IA42" s="1357"/>
      <c r="IB42" s="1357"/>
      <c r="IC42" s="1357"/>
      <c r="ID42" s="1357"/>
      <c r="IE42" s="1357"/>
      <c r="IF42" s="1357"/>
      <c r="IG42" s="1357"/>
      <c r="IH42" s="1357"/>
      <c r="II42" s="1357"/>
      <c r="IJ42" s="1357"/>
      <c r="IK42" s="1357"/>
      <c r="IL42" s="1357"/>
      <c r="IM42" s="1357"/>
      <c r="IN42" s="1357"/>
      <c r="IO42" s="1357"/>
      <c r="IP42" s="1357"/>
      <c r="IQ42" s="1357"/>
      <c r="IR42" s="1357"/>
      <c r="IS42" s="1357"/>
      <c r="IT42" s="1357"/>
      <c r="IU42" s="1357"/>
      <c r="IV42" s="1357"/>
    </row>
    <row r="43" spans="1:256" ht="38.5">
      <c r="A43" s="1366" t="s">
        <v>308</v>
      </c>
      <c r="B43" s="1367" t="s">
        <v>510</v>
      </c>
      <c r="C43" s="1367" t="s">
        <v>511</v>
      </c>
      <c r="D43" s="1367" t="s">
        <v>519</v>
      </c>
      <c r="E43" s="1367" t="s">
        <v>520</v>
      </c>
      <c r="F43" s="1367" t="s">
        <v>521</v>
      </c>
      <c r="G43" s="1367" t="s">
        <v>522</v>
      </c>
      <c r="H43" s="1367" t="s">
        <v>512</v>
      </c>
      <c r="I43" s="1367" t="s">
        <v>523</v>
      </c>
      <c r="J43" s="1357"/>
      <c r="K43" s="1368"/>
      <c r="L43" s="1368"/>
      <c r="M43" s="1368"/>
      <c r="N43" s="1368"/>
      <c r="O43" s="1368"/>
      <c r="P43" s="1368"/>
      <c r="Q43" s="1368"/>
      <c r="R43" s="1368"/>
      <c r="S43" s="1368"/>
      <c r="T43" s="1368"/>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8"/>
      <c r="AR43" s="1368"/>
      <c r="AS43" s="1368"/>
      <c r="AT43" s="1368"/>
      <c r="AU43" s="1368"/>
      <c r="AV43" s="1368"/>
      <c r="AW43" s="1368"/>
      <c r="AX43" s="1368"/>
      <c r="AY43" s="1368"/>
      <c r="AZ43" s="1368"/>
      <c r="BA43" s="1368"/>
      <c r="BB43" s="1368"/>
      <c r="BC43" s="1368"/>
      <c r="BD43" s="1368"/>
      <c r="BE43" s="1368"/>
      <c r="BF43" s="1368"/>
      <c r="BG43" s="1368"/>
      <c r="BH43" s="1368"/>
      <c r="BI43" s="1368"/>
      <c r="BJ43" s="1368"/>
      <c r="BK43" s="1368"/>
      <c r="BL43" s="1368"/>
      <c r="BM43" s="1368"/>
      <c r="BN43" s="1368"/>
      <c r="BO43" s="1368"/>
      <c r="BP43" s="1368"/>
      <c r="BQ43" s="1368"/>
      <c r="BR43" s="1368"/>
      <c r="BS43" s="1368"/>
      <c r="BT43" s="1368"/>
      <c r="BU43" s="1368"/>
      <c r="BV43" s="1368"/>
      <c r="BW43" s="1368"/>
      <c r="BX43" s="1368"/>
      <c r="BY43" s="1368"/>
      <c r="BZ43" s="1368"/>
      <c r="CA43" s="1368"/>
      <c r="CB43" s="1368"/>
      <c r="CC43" s="1368"/>
      <c r="CD43" s="1368"/>
      <c r="CE43" s="1368"/>
      <c r="CF43" s="1368"/>
      <c r="CG43" s="1368"/>
      <c r="CH43" s="1368"/>
      <c r="CI43" s="1368"/>
      <c r="CJ43" s="1368"/>
      <c r="CK43" s="1368"/>
      <c r="CL43" s="1368"/>
      <c r="CM43" s="1368"/>
      <c r="CN43" s="1368"/>
      <c r="CO43" s="1368"/>
      <c r="CP43" s="1368"/>
      <c r="CQ43" s="1368"/>
      <c r="CR43" s="1368"/>
      <c r="CS43" s="1368"/>
      <c r="CT43" s="1368"/>
      <c r="CU43" s="1368"/>
      <c r="CV43" s="1368"/>
      <c r="CW43" s="1368"/>
      <c r="CX43" s="1368"/>
      <c r="CY43" s="1368"/>
      <c r="CZ43" s="1368"/>
      <c r="DA43" s="1368"/>
      <c r="DB43" s="1368"/>
      <c r="DC43" s="1368"/>
      <c r="DD43" s="1368"/>
      <c r="DE43" s="1368"/>
      <c r="DF43" s="1368"/>
      <c r="DG43" s="1368"/>
      <c r="DH43" s="1368"/>
      <c r="DI43" s="1368"/>
      <c r="DJ43" s="1368"/>
      <c r="DK43" s="1368"/>
      <c r="DL43" s="1368"/>
      <c r="DM43" s="1368"/>
      <c r="DN43" s="1368"/>
      <c r="DO43" s="1368"/>
      <c r="DP43" s="1368"/>
      <c r="DQ43" s="1368"/>
      <c r="DR43" s="1368"/>
      <c r="DS43" s="1368"/>
      <c r="DT43" s="1368"/>
      <c r="DU43" s="1368"/>
      <c r="DV43" s="1368"/>
      <c r="DW43" s="1368"/>
      <c r="DX43" s="1368"/>
      <c r="DY43" s="1368"/>
      <c r="DZ43" s="1368"/>
      <c r="EA43" s="1368"/>
      <c r="EB43" s="1368"/>
      <c r="EC43" s="1368"/>
      <c r="ED43" s="1368"/>
      <c r="EE43" s="1368"/>
      <c r="EF43" s="1368"/>
      <c r="EG43" s="1368"/>
      <c r="EH43" s="1368"/>
      <c r="EI43" s="1368"/>
      <c r="EJ43" s="1368"/>
      <c r="EK43" s="1368"/>
      <c r="EL43" s="1368"/>
      <c r="EM43" s="1368"/>
      <c r="EN43" s="1368"/>
      <c r="EO43" s="1368"/>
      <c r="EP43" s="1368"/>
      <c r="EQ43" s="1368"/>
      <c r="ER43" s="1368"/>
      <c r="ES43" s="1368"/>
      <c r="ET43" s="1368"/>
      <c r="EU43" s="1368"/>
      <c r="EV43" s="1368"/>
      <c r="EW43" s="1368"/>
      <c r="EX43" s="1368"/>
      <c r="EY43" s="1368"/>
      <c r="EZ43" s="1368"/>
      <c r="FA43" s="1368"/>
      <c r="FB43" s="1368"/>
      <c r="FC43" s="1368"/>
      <c r="FD43" s="1368"/>
      <c r="FE43" s="1368"/>
      <c r="FF43" s="1368"/>
      <c r="FG43" s="1368"/>
      <c r="FH43" s="1368"/>
      <c r="FI43" s="1368"/>
      <c r="FJ43" s="1368"/>
      <c r="FK43" s="1368"/>
      <c r="FL43" s="1368"/>
      <c r="FM43" s="1368"/>
      <c r="FN43" s="1368"/>
      <c r="FO43" s="1368"/>
      <c r="FP43" s="1368"/>
      <c r="FQ43" s="1368"/>
      <c r="FR43" s="1368"/>
      <c r="FS43" s="1368"/>
      <c r="FT43" s="1368"/>
      <c r="FU43" s="1368"/>
      <c r="FV43" s="1368"/>
      <c r="FW43" s="1368"/>
      <c r="FX43" s="1368"/>
      <c r="FY43" s="1368"/>
      <c r="FZ43" s="1368"/>
      <c r="GA43" s="1368"/>
      <c r="GB43" s="1368"/>
      <c r="GC43" s="1368"/>
      <c r="GD43" s="1368"/>
      <c r="GE43" s="1368"/>
      <c r="GF43" s="1368"/>
      <c r="GG43" s="1368"/>
      <c r="GH43" s="1368"/>
      <c r="GI43" s="1368"/>
      <c r="GJ43" s="1368"/>
      <c r="GK43" s="1368"/>
      <c r="GL43" s="1368"/>
      <c r="GM43" s="1368"/>
      <c r="GN43" s="1368"/>
      <c r="GO43" s="1368"/>
      <c r="GP43" s="1368"/>
      <c r="GQ43" s="1368"/>
      <c r="GR43" s="1368"/>
      <c r="GS43" s="1368"/>
      <c r="GT43" s="1368"/>
      <c r="GU43" s="1368"/>
      <c r="GV43" s="1368"/>
      <c r="GW43" s="1368"/>
      <c r="GX43" s="1368"/>
      <c r="GY43" s="1368"/>
      <c r="GZ43" s="1368"/>
      <c r="HA43" s="1368"/>
      <c r="HB43" s="1368"/>
      <c r="HC43" s="1368"/>
      <c r="HD43" s="1368"/>
      <c r="HE43" s="1368"/>
      <c r="HF43" s="1368"/>
      <c r="HG43" s="1368"/>
      <c r="HH43" s="1368"/>
      <c r="HI43" s="1368"/>
      <c r="HJ43" s="1368"/>
      <c r="HK43" s="1368"/>
      <c r="HL43" s="1368"/>
      <c r="HM43" s="1368"/>
      <c r="HN43" s="1368"/>
      <c r="HO43" s="1368"/>
      <c r="HP43" s="1368"/>
      <c r="HQ43" s="1368"/>
      <c r="HR43" s="1368"/>
      <c r="HS43" s="1368"/>
      <c r="HT43" s="1368"/>
      <c r="HU43" s="1368"/>
      <c r="HV43" s="1368"/>
      <c r="HW43" s="1368"/>
      <c r="HX43" s="1368"/>
      <c r="HY43" s="1368"/>
      <c r="HZ43" s="1368"/>
      <c r="IA43" s="1368"/>
      <c r="IB43" s="1368"/>
      <c r="IC43" s="1368"/>
      <c r="ID43" s="1368"/>
      <c r="IE43" s="1368"/>
      <c r="IF43" s="1368"/>
      <c r="IG43" s="1368"/>
      <c r="IH43" s="1368"/>
      <c r="II43" s="1368"/>
      <c r="IJ43" s="1368"/>
      <c r="IK43" s="1368"/>
      <c r="IL43" s="1368"/>
      <c r="IM43" s="1368"/>
      <c r="IN43" s="1368"/>
      <c r="IO43" s="1368"/>
      <c r="IP43" s="1368"/>
      <c r="IQ43" s="1368"/>
      <c r="IR43" s="1368"/>
      <c r="IS43" s="1368"/>
      <c r="IT43" s="1368"/>
      <c r="IU43" s="1368"/>
      <c r="IV43" s="1368"/>
    </row>
    <row r="44" spans="1:256">
      <c r="A44" s="1361">
        <f>+A40+1</f>
        <v>24</v>
      </c>
      <c r="B44" s="1358" t="s">
        <v>513</v>
      </c>
      <c r="C44" s="829">
        <f>+H38</f>
        <v>0</v>
      </c>
      <c r="D44" s="829">
        <f>C44</f>
        <v>0</v>
      </c>
      <c r="E44" s="1358"/>
      <c r="F44" s="711">
        <v>365</v>
      </c>
      <c r="G44" s="1369">
        <f>F44/$F$18</f>
        <v>1</v>
      </c>
      <c r="H44" s="829">
        <f>C44*G44</f>
        <v>0</v>
      </c>
      <c r="I44" s="829">
        <f>H44</f>
        <v>0</v>
      </c>
      <c r="J44" s="1357"/>
      <c r="K44" s="1357"/>
      <c r="L44" s="1357"/>
      <c r="M44" s="1357"/>
      <c r="N44" s="1357"/>
      <c r="O44" s="1357"/>
      <c r="P44" s="1357"/>
      <c r="Q44" s="1357"/>
      <c r="R44" s="1357"/>
      <c r="S44" s="1357"/>
      <c r="T44" s="1357"/>
      <c r="U44" s="1357"/>
      <c r="V44" s="1357"/>
      <c r="W44" s="1357"/>
      <c r="X44" s="1357"/>
      <c r="Y44" s="1357"/>
      <c r="Z44" s="1357"/>
      <c r="AA44" s="1357"/>
      <c r="AB44" s="1357"/>
      <c r="AC44" s="1357"/>
      <c r="AD44" s="1357"/>
      <c r="AE44" s="1357"/>
      <c r="AF44" s="1357"/>
      <c r="AG44" s="1357"/>
      <c r="AH44" s="1357"/>
      <c r="AI44" s="1357"/>
      <c r="AJ44" s="1357"/>
      <c r="AK44" s="1357"/>
      <c r="AL44" s="1357"/>
      <c r="AM44" s="1357"/>
      <c r="AN44" s="1357"/>
      <c r="AO44" s="1357"/>
      <c r="AP44" s="1357"/>
      <c r="AQ44" s="1357"/>
      <c r="AR44" s="1357"/>
      <c r="AS44" s="1357"/>
      <c r="AT44" s="1357"/>
      <c r="AU44" s="1357"/>
      <c r="AV44" s="1357"/>
      <c r="AW44" s="1357"/>
      <c r="AX44" s="1357"/>
      <c r="AY44" s="1357"/>
      <c r="AZ44" s="1357"/>
      <c r="BA44" s="1357"/>
      <c r="BB44" s="1357"/>
      <c r="BC44" s="1357"/>
      <c r="BD44" s="1357"/>
      <c r="BE44" s="1357"/>
      <c r="BF44" s="1357"/>
      <c r="BG44" s="1357"/>
      <c r="BH44" s="1357"/>
      <c r="BI44" s="1357"/>
      <c r="BJ44" s="1357"/>
      <c r="BK44" s="1357"/>
      <c r="BL44" s="1357"/>
      <c r="BM44" s="1357"/>
      <c r="BN44" s="1357"/>
      <c r="BO44" s="1357"/>
      <c r="BP44" s="1357"/>
      <c r="BQ44" s="1357"/>
      <c r="BR44" s="1357"/>
      <c r="BS44" s="1357"/>
      <c r="BT44" s="1357"/>
      <c r="BU44" s="1357"/>
      <c r="BV44" s="1357"/>
      <c r="BW44" s="1357"/>
      <c r="BX44" s="1357"/>
      <c r="BY44" s="1357"/>
      <c r="BZ44" s="1357"/>
      <c r="CA44" s="1357"/>
      <c r="CB44" s="1357"/>
      <c r="CC44" s="1357"/>
      <c r="CD44" s="1357"/>
      <c r="CE44" s="1357"/>
      <c r="CF44" s="1357"/>
      <c r="CG44" s="1357"/>
      <c r="CH44" s="1357"/>
      <c r="CI44" s="1357"/>
      <c r="CJ44" s="1357"/>
      <c r="CK44" s="1357"/>
      <c r="CL44" s="1357"/>
      <c r="CM44" s="1357"/>
      <c r="CN44" s="1357"/>
      <c r="CO44" s="1357"/>
      <c r="CP44" s="1357"/>
      <c r="CQ44" s="1357"/>
      <c r="CR44" s="1357"/>
      <c r="CS44" s="1357"/>
      <c r="CT44" s="1357"/>
      <c r="CU44" s="1357"/>
      <c r="CV44" s="1357"/>
      <c r="CW44" s="1357"/>
      <c r="CX44" s="1357"/>
      <c r="CY44" s="1357"/>
      <c r="CZ44" s="1357"/>
      <c r="DA44" s="1357"/>
      <c r="DB44" s="1357"/>
      <c r="DC44" s="1357"/>
      <c r="DD44" s="1357"/>
      <c r="DE44" s="1357"/>
      <c r="DF44" s="1357"/>
      <c r="DG44" s="1357"/>
      <c r="DH44" s="1357"/>
      <c r="DI44" s="1357"/>
      <c r="DJ44" s="1357"/>
      <c r="DK44" s="1357"/>
      <c r="DL44" s="1357"/>
      <c r="DM44" s="1357"/>
      <c r="DN44" s="1357"/>
      <c r="DO44" s="1357"/>
      <c r="DP44" s="1357"/>
      <c r="DQ44" s="1357"/>
      <c r="DR44" s="1357"/>
      <c r="DS44" s="1357"/>
      <c r="DT44" s="1357"/>
      <c r="DU44" s="1357"/>
      <c r="DV44" s="1357"/>
      <c r="DW44" s="1357"/>
      <c r="DX44" s="1357"/>
      <c r="DY44" s="1357"/>
      <c r="DZ44" s="1357"/>
      <c r="EA44" s="1357"/>
      <c r="EB44" s="1357"/>
      <c r="EC44" s="1357"/>
      <c r="ED44" s="1357"/>
      <c r="EE44" s="1357"/>
      <c r="EF44" s="1357"/>
      <c r="EG44" s="1357"/>
      <c r="EH44" s="1357"/>
      <c r="EI44" s="1357"/>
      <c r="EJ44" s="1357"/>
      <c r="EK44" s="1357"/>
      <c r="EL44" s="1357"/>
      <c r="EM44" s="1357"/>
      <c r="EN44" s="1357"/>
      <c r="EO44" s="1357"/>
      <c r="EP44" s="1357"/>
      <c r="EQ44" s="1357"/>
      <c r="ER44" s="1357"/>
      <c r="ES44" s="1357"/>
      <c r="ET44" s="1357"/>
      <c r="EU44" s="1357"/>
      <c r="EV44" s="1357"/>
      <c r="EW44" s="1357"/>
      <c r="EX44" s="1357"/>
      <c r="EY44" s="1357"/>
      <c r="EZ44" s="1357"/>
      <c r="FA44" s="1357"/>
      <c r="FB44" s="1357"/>
      <c r="FC44" s="1357"/>
      <c r="FD44" s="1357"/>
      <c r="FE44" s="1357"/>
      <c r="FF44" s="1357"/>
      <c r="FG44" s="1357"/>
      <c r="FH44" s="1357"/>
      <c r="FI44" s="1357"/>
      <c r="FJ44" s="1357"/>
      <c r="FK44" s="1357"/>
      <c r="FL44" s="1357"/>
      <c r="FM44" s="1357"/>
      <c r="FN44" s="1357"/>
      <c r="FO44" s="1357"/>
      <c r="FP44" s="1357"/>
      <c r="FQ44" s="1357"/>
      <c r="FR44" s="1357"/>
      <c r="FS44" s="1357"/>
      <c r="FT44" s="1357"/>
      <c r="FU44" s="1357"/>
      <c r="FV44" s="1357"/>
      <c r="FW44" s="1357"/>
      <c r="FX44" s="1357"/>
      <c r="FY44" s="1357"/>
      <c r="FZ44" s="1357"/>
      <c r="GA44" s="1357"/>
      <c r="GB44" s="1357"/>
      <c r="GC44" s="1357"/>
      <c r="GD44" s="1357"/>
      <c r="GE44" s="1357"/>
      <c r="GF44" s="1357"/>
      <c r="GG44" s="1357"/>
      <c r="GH44" s="1357"/>
      <c r="GI44" s="1357"/>
      <c r="GJ44" s="1357"/>
      <c r="GK44" s="1357"/>
      <c r="GL44" s="1357"/>
      <c r="GM44" s="1357"/>
      <c r="GN44" s="1357"/>
      <c r="GO44" s="1357"/>
      <c r="GP44" s="1357"/>
      <c r="GQ44" s="1357"/>
      <c r="GR44" s="1357"/>
      <c r="GS44" s="1357"/>
      <c r="GT44" s="1357"/>
      <c r="GU44" s="1357"/>
      <c r="GV44" s="1357"/>
      <c r="GW44" s="1357"/>
      <c r="GX44" s="1357"/>
      <c r="GY44" s="1357"/>
      <c r="GZ44" s="1357"/>
      <c r="HA44" s="1357"/>
      <c r="HB44" s="1357"/>
      <c r="HC44" s="1357"/>
      <c r="HD44" s="1357"/>
      <c r="HE44" s="1357"/>
      <c r="HF44" s="1357"/>
      <c r="HG44" s="1357"/>
      <c r="HH44" s="1357"/>
      <c r="HI44" s="1357"/>
      <c r="HJ44" s="1357"/>
      <c r="HK44" s="1357"/>
      <c r="HL44" s="1357"/>
      <c r="HM44" s="1357"/>
      <c r="HN44" s="1357"/>
      <c r="HO44" s="1357"/>
      <c r="HP44" s="1357"/>
      <c r="HQ44" s="1357"/>
      <c r="HR44" s="1357"/>
      <c r="HS44" s="1357"/>
      <c r="HT44" s="1357"/>
      <c r="HU44" s="1357"/>
      <c r="HV44" s="1357"/>
      <c r="HW44" s="1357"/>
      <c r="HX44" s="1357"/>
      <c r="HY44" s="1357"/>
      <c r="HZ44" s="1357"/>
      <c r="IA44" s="1357"/>
      <c r="IB44" s="1357"/>
      <c r="IC44" s="1357"/>
      <c r="ID44" s="1357"/>
      <c r="IE44" s="1357"/>
      <c r="IF44" s="1357"/>
      <c r="IG44" s="1357"/>
      <c r="IH44" s="1357"/>
      <c r="II44" s="1357"/>
      <c r="IJ44" s="1357"/>
      <c r="IK44" s="1357"/>
      <c r="IL44" s="1357"/>
      <c r="IM44" s="1357"/>
      <c r="IN44" s="1357"/>
      <c r="IO44" s="1357"/>
      <c r="IP44" s="1357"/>
      <c r="IQ44" s="1357"/>
      <c r="IR44" s="1357"/>
      <c r="IS44" s="1357"/>
      <c r="IT44" s="1357"/>
      <c r="IU44" s="1357"/>
      <c r="IV44" s="1357"/>
    </row>
    <row r="45" spans="1:256">
      <c r="A45" s="1361">
        <f>+A44+1</f>
        <v>25</v>
      </c>
      <c r="B45" s="1358" t="s">
        <v>514</v>
      </c>
      <c r="C45" s="829">
        <f>+$H$40</f>
        <v>0</v>
      </c>
      <c r="D45" s="829">
        <f>D44+C45</f>
        <v>0</v>
      </c>
      <c r="E45" s="1358">
        <v>31</v>
      </c>
      <c r="F45" s="711">
        <v>335</v>
      </c>
      <c r="G45" s="1369">
        <f t="shared" ref="G45:G56" si="6">F45/$F$18</f>
        <v>0.9178082191780822</v>
      </c>
      <c r="H45" s="829">
        <f t="shared" ref="H45:H56" si="7">C45*G45</f>
        <v>0</v>
      </c>
      <c r="I45" s="829">
        <f t="shared" ref="I45:I56" si="8">I44+H45</f>
        <v>0</v>
      </c>
      <c r="J45" s="1357"/>
      <c r="K45" s="1357"/>
      <c r="L45" s="1357"/>
      <c r="M45" s="1357"/>
      <c r="N45" s="1357"/>
      <c r="O45" s="1357"/>
      <c r="P45" s="1357"/>
      <c r="Q45" s="1357"/>
      <c r="R45" s="1357"/>
      <c r="S45" s="1357"/>
      <c r="T45" s="1357"/>
      <c r="U45" s="1357"/>
      <c r="V45" s="1357"/>
      <c r="W45" s="1357"/>
      <c r="X45" s="1357"/>
      <c r="Y45" s="1357"/>
      <c r="Z45" s="1357"/>
      <c r="AA45" s="1357"/>
      <c r="AB45" s="1357"/>
      <c r="AC45" s="1357"/>
      <c r="AD45" s="1357"/>
      <c r="AE45" s="1357"/>
      <c r="AF45" s="1357"/>
      <c r="AG45" s="1357"/>
      <c r="AH45" s="1357"/>
      <c r="AI45" s="1357"/>
      <c r="AJ45" s="1357"/>
      <c r="AK45" s="1357"/>
      <c r="AL45" s="1357"/>
      <c r="AM45" s="1357"/>
      <c r="AN45" s="1357"/>
      <c r="AO45" s="1357"/>
      <c r="AP45" s="1357"/>
      <c r="AQ45" s="1357"/>
      <c r="AR45" s="1357"/>
      <c r="AS45" s="1357"/>
      <c r="AT45" s="1357"/>
      <c r="AU45" s="1357"/>
      <c r="AV45" s="1357"/>
      <c r="AW45" s="1357"/>
      <c r="AX45" s="1357"/>
      <c r="AY45" s="1357"/>
      <c r="AZ45" s="1357"/>
      <c r="BA45" s="1357"/>
      <c r="BB45" s="1357"/>
      <c r="BC45" s="1357"/>
      <c r="BD45" s="1357"/>
      <c r="BE45" s="1357"/>
      <c r="BF45" s="1357"/>
      <c r="BG45" s="1357"/>
      <c r="BH45" s="1357"/>
      <c r="BI45" s="1357"/>
      <c r="BJ45" s="1357"/>
      <c r="BK45" s="1357"/>
      <c r="BL45" s="1357"/>
      <c r="BM45" s="1357"/>
      <c r="BN45" s="1357"/>
      <c r="BO45" s="1357"/>
      <c r="BP45" s="1357"/>
      <c r="BQ45" s="1357"/>
      <c r="BR45" s="1357"/>
      <c r="BS45" s="1357"/>
      <c r="BT45" s="1357"/>
      <c r="BU45" s="1357"/>
      <c r="BV45" s="1357"/>
      <c r="BW45" s="1357"/>
      <c r="BX45" s="1357"/>
      <c r="BY45" s="1357"/>
      <c r="BZ45" s="1357"/>
      <c r="CA45" s="1357"/>
      <c r="CB45" s="1357"/>
      <c r="CC45" s="1357"/>
      <c r="CD45" s="1357"/>
      <c r="CE45" s="1357"/>
      <c r="CF45" s="1357"/>
      <c r="CG45" s="1357"/>
      <c r="CH45" s="1357"/>
      <c r="CI45" s="1357"/>
      <c r="CJ45" s="1357"/>
      <c r="CK45" s="1357"/>
      <c r="CL45" s="1357"/>
      <c r="CM45" s="1357"/>
      <c r="CN45" s="1357"/>
      <c r="CO45" s="1357"/>
      <c r="CP45" s="1357"/>
      <c r="CQ45" s="1357"/>
      <c r="CR45" s="1357"/>
      <c r="CS45" s="1357"/>
      <c r="CT45" s="1357"/>
      <c r="CU45" s="1357"/>
      <c r="CV45" s="1357"/>
      <c r="CW45" s="1357"/>
      <c r="CX45" s="1357"/>
      <c r="CY45" s="1357"/>
      <c r="CZ45" s="1357"/>
      <c r="DA45" s="1357"/>
      <c r="DB45" s="1357"/>
      <c r="DC45" s="1357"/>
      <c r="DD45" s="1357"/>
      <c r="DE45" s="1357"/>
      <c r="DF45" s="1357"/>
      <c r="DG45" s="1357"/>
      <c r="DH45" s="1357"/>
      <c r="DI45" s="1357"/>
      <c r="DJ45" s="1357"/>
      <c r="DK45" s="1357"/>
      <c r="DL45" s="1357"/>
      <c r="DM45" s="1357"/>
      <c r="DN45" s="1357"/>
      <c r="DO45" s="1357"/>
      <c r="DP45" s="1357"/>
      <c r="DQ45" s="1357"/>
      <c r="DR45" s="1357"/>
      <c r="DS45" s="1357"/>
      <c r="DT45" s="1357"/>
      <c r="DU45" s="1357"/>
      <c r="DV45" s="1357"/>
      <c r="DW45" s="1357"/>
      <c r="DX45" s="1357"/>
      <c r="DY45" s="1357"/>
      <c r="DZ45" s="1357"/>
      <c r="EA45" s="1357"/>
      <c r="EB45" s="1357"/>
      <c r="EC45" s="1357"/>
      <c r="ED45" s="1357"/>
      <c r="EE45" s="1357"/>
      <c r="EF45" s="1357"/>
      <c r="EG45" s="1357"/>
      <c r="EH45" s="1357"/>
      <c r="EI45" s="1357"/>
      <c r="EJ45" s="1357"/>
      <c r="EK45" s="1357"/>
      <c r="EL45" s="1357"/>
      <c r="EM45" s="1357"/>
      <c r="EN45" s="1357"/>
      <c r="EO45" s="1357"/>
      <c r="EP45" s="1357"/>
      <c r="EQ45" s="1357"/>
      <c r="ER45" s="1357"/>
      <c r="ES45" s="1357"/>
      <c r="ET45" s="1357"/>
      <c r="EU45" s="1357"/>
      <c r="EV45" s="1357"/>
      <c r="EW45" s="1357"/>
      <c r="EX45" s="1357"/>
      <c r="EY45" s="1357"/>
      <c r="EZ45" s="1357"/>
      <c r="FA45" s="1357"/>
      <c r="FB45" s="1357"/>
      <c r="FC45" s="1357"/>
      <c r="FD45" s="1357"/>
      <c r="FE45" s="1357"/>
      <c r="FF45" s="1357"/>
      <c r="FG45" s="1357"/>
      <c r="FH45" s="1357"/>
      <c r="FI45" s="1357"/>
      <c r="FJ45" s="1357"/>
      <c r="FK45" s="1357"/>
      <c r="FL45" s="1357"/>
      <c r="FM45" s="1357"/>
      <c r="FN45" s="1357"/>
      <c r="FO45" s="1357"/>
      <c r="FP45" s="1357"/>
      <c r="FQ45" s="1357"/>
      <c r="FR45" s="1357"/>
      <c r="FS45" s="1357"/>
      <c r="FT45" s="1357"/>
      <c r="FU45" s="1357"/>
      <c r="FV45" s="1357"/>
      <c r="FW45" s="1357"/>
      <c r="FX45" s="1357"/>
      <c r="FY45" s="1357"/>
      <c r="FZ45" s="1357"/>
      <c r="GA45" s="1357"/>
      <c r="GB45" s="1357"/>
      <c r="GC45" s="1357"/>
      <c r="GD45" s="1357"/>
      <c r="GE45" s="1357"/>
      <c r="GF45" s="1357"/>
      <c r="GG45" s="1357"/>
      <c r="GH45" s="1357"/>
      <c r="GI45" s="1357"/>
      <c r="GJ45" s="1357"/>
      <c r="GK45" s="1357"/>
      <c r="GL45" s="1357"/>
      <c r="GM45" s="1357"/>
      <c r="GN45" s="1357"/>
      <c r="GO45" s="1357"/>
      <c r="GP45" s="1357"/>
      <c r="GQ45" s="1357"/>
      <c r="GR45" s="1357"/>
      <c r="GS45" s="1357"/>
      <c r="GT45" s="1357"/>
      <c r="GU45" s="1357"/>
      <c r="GV45" s="1357"/>
      <c r="GW45" s="1357"/>
      <c r="GX45" s="1357"/>
      <c r="GY45" s="1357"/>
      <c r="GZ45" s="1357"/>
      <c r="HA45" s="1357"/>
      <c r="HB45" s="1357"/>
      <c r="HC45" s="1357"/>
      <c r="HD45" s="1357"/>
      <c r="HE45" s="1357"/>
      <c r="HF45" s="1357"/>
      <c r="HG45" s="1357"/>
      <c r="HH45" s="1357"/>
      <c r="HI45" s="1357"/>
      <c r="HJ45" s="1357"/>
      <c r="HK45" s="1357"/>
      <c r="HL45" s="1357"/>
      <c r="HM45" s="1357"/>
      <c r="HN45" s="1357"/>
      <c r="HO45" s="1357"/>
      <c r="HP45" s="1357"/>
      <c r="HQ45" s="1357"/>
      <c r="HR45" s="1357"/>
      <c r="HS45" s="1357"/>
      <c r="HT45" s="1357"/>
      <c r="HU45" s="1357"/>
      <c r="HV45" s="1357"/>
      <c r="HW45" s="1357"/>
      <c r="HX45" s="1357"/>
      <c r="HY45" s="1357"/>
      <c r="HZ45" s="1357"/>
      <c r="IA45" s="1357"/>
      <c r="IB45" s="1357"/>
      <c r="IC45" s="1357"/>
      <c r="ID45" s="1357"/>
      <c r="IE45" s="1357"/>
      <c r="IF45" s="1357"/>
      <c r="IG45" s="1357"/>
      <c r="IH45" s="1357"/>
      <c r="II45" s="1357"/>
      <c r="IJ45" s="1357"/>
      <c r="IK45" s="1357"/>
      <c r="IL45" s="1357"/>
      <c r="IM45" s="1357"/>
      <c r="IN45" s="1357"/>
      <c r="IO45" s="1357"/>
      <c r="IP45" s="1357"/>
      <c r="IQ45" s="1357"/>
      <c r="IR45" s="1357"/>
      <c r="IS45" s="1357"/>
      <c r="IT45" s="1357"/>
      <c r="IU45" s="1357"/>
      <c r="IV45" s="1357"/>
    </row>
    <row r="46" spans="1:256">
      <c r="A46" s="1361">
        <f t="shared" ref="A46:A56" si="9">+A45+1</f>
        <v>26</v>
      </c>
      <c r="B46" s="1358" t="s">
        <v>515</v>
      </c>
      <c r="C46" s="829">
        <f t="shared" ref="C46:C56" si="10">+$H$40</f>
        <v>0</v>
      </c>
      <c r="D46" s="829">
        <f>D45+C46</f>
        <v>0</v>
      </c>
      <c r="E46" s="711">
        <v>28</v>
      </c>
      <c r="F46" s="711">
        <v>307</v>
      </c>
      <c r="G46" s="1369">
        <f t="shared" si="6"/>
        <v>0.84109589041095889</v>
      </c>
      <c r="H46" s="829">
        <f t="shared" si="7"/>
        <v>0</v>
      </c>
      <c r="I46" s="829">
        <f t="shared" si="8"/>
        <v>0</v>
      </c>
      <c r="J46" s="1357"/>
      <c r="K46" s="1357"/>
      <c r="L46" s="1357"/>
      <c r="M46" s="1357"/>
      <c r="N46" s="1357"/>
      <c r="O46" s="1357"/>
      <c r="P46" s="1357"/>
      <c r="Q46" s="1357"/>
      <c r="R46" s="1357"/>
      <c r="S46" s="1357"/>
      <c r="T46" s="1357"/>
      <c r="U46" s="1357"/>
      <c r="V46" s="1357"/>
      <c r="W46" s="1357"/>
      <c r="X46" s="1357"/>
      <c r="Y46" s="1357"/>
      <c r="Z46" s="1357"/>
      <c r="AA46" s="1357"/>
      <c r="AB46" s="1357"/>
      <c r="AC46" s="1357"/>
      <c r="AD46" s="1357"/>
      <c r="AE46" s="1357"/>
      <c r="AF46" s="1357"/>
      <c r="AG46" s="1357"/>
      <c r="AH46" s="1357"/>
      <c r="AI46" s="1357"/>
      <c r="AJ46" s="1357"/>
      <c r="AK46" s="1357"/>
      <c r="AL46" s="1357"/>
      <c r="AM46" s="1357"/>
      <c r="AN46" s="1357"/>
      <c r="AO46" s="1357"/>
      <c r="AP46" s="1357"/>
      <c r="AQ46" s="1357"/>
      <c r="AR46" s="1357"/>
      <c r="AS46" s="1357"/>
      <c r="AT46" s="1357"/>
      <c r="AU46" s="1357"/>
      <c r="AV46" s="1357"/>
      <c r="AW46" s="1357"/>
      <c r="AX46" s="1357"/>
      <c r="AY46" s="1357"/>
      <c r="AZ46" s="1357"/>
      <c r="BA46" s="1357"/>
      <c r="BB46" s="1357"/>
      <c r="BC46" s="1357"/>
      <c r="BD46" s="1357"/>
      <c r="BE46" s="1357"/>
      <c r="BF46" s="1357"/>
      <c r="BG46" s="1357"/>
      <c r="BH46" s="1357"/>
      <c r="BI46" s="1357"/>
      <c r="BJ46" s="1357"/>
      <c r="BK46" s="1357"/>
      <c r="BL46" s="1357"/>
      <c r="BM46" s="1357"/>
      <c r="BN46" s="1357"/>
      <c r="BO46" s="1357"/>
      <c r="BP46" s="1357"/>
      <c r="BQ46" s="1357"/>
      <c r="BR46" s="1357"/>
      <c r="BS46" s="1357"/>
      <c r="BT46" s="1357"/>
      <c r="BU46" s="1357"/>
      <c r="BV46" s="1357"/>
      <c r="BW46" s="1357"/>
      <c r="BX46" s="1357"/>
      <c r="BY46" s="1357"/>
      <c r="BZ46" s="1357"/>
      <c r="CA46" s="1357"/>
      <c r="CB46" s="1357"/>
      <c r="CC46" s="1357"/>
      <c r="CD46" s="1357"/>
      <c r="CE46" s="1357"/>
      <c r="CF46" s="1357"/>
      <c r="CG46" s="1357"/>
      <c r="CH46" s="1357"/>
      <c r="CI46" s="1357"/>
      <c r="CJ46" s="1357"/>
      <c r="CK46" s="1357"/>
      <c r="CL46" s="1357"/>
      <c r="CM46" s="1357"/>
      <c r="CN46" s="1357"/>
      <c r="CO46" s="1357"/>
      <c r="CP46" s="1357"/>
      <c r="CQ46" s="1357"/>
      <c r="CR46" s="1357"/>
      <c r="CS46" s="1357"/>
      <c r="CT46" s="1357"/>
      <c r="CU46" s="1357"/>
      <c r="CV46" s="1357"/>
      <c r="CW46" s="1357"/>
      <c r="CX46" s="1357"/>
      <c r="CY46" s="1357"/>
      <c r="CZ46" s="1357"/>
      <c r="DA46" s="1357"/>
      <c r="DB46" s="1357"/>
      <c r="DC46" s="1357"/>
      <c r="DD46" s="1357"/>
      <c r="DE46" s="1357"/>
      <c r="DF46" s="1357"/>
      <c r="DG46" s="1357"/>
      <c r="DH46" s="1357"/>
      <c r="DI46" s="1357"/>
      <c r="DJ46" s="1357"/>
      <c r="DK46" s="1357"/>
      <c r="DL46" s="1357"/>
      <c r="DM46" s="1357"/>
      <c r="DN46" s="1357"/>
      <c r="DO46" s="1357"/>
      <c r="DP46" s="1357"/>
      <c r="DQ46" s="1357"/>
      <c r="DR46" s="1357"/>
      <c r="DS46" s="1357"/>
      <c r="DT46" s="1357"/>
      <c r="DU46" s="1357"/>
      <c r="DV46" s="1357"/>
      <c r="DW46" s="1357"/>
      <c r="DX46" s="1357"/>
      <c r="DY46" s="1357"/>
      <c r="DZ46" s="1357"/>
      <c r="EA46" s="1357"/>
      <c r="EB46" s="1357"/>
      <c r="EC46" s="1357"/>
      <c r="ED46" s="1357"/>
      <c r="EE46" s="1357"/>
      <c r="EF46" s="1357"/>
      <c r="EG46" s="1357"/>
      <c r="EH46" s="1357"/>
      <c r="EI46" s="1357"/>
      <c r="EJ46" s="1357"/>
      <c r="EK46" s="1357"/>
      <c r="EL46" s="1357"/>
      <c r="EM46" s="1357"/>
      <c r="EN46" s="1357"/>
      <c r="EO46" s="1357"/>
      <c r="EP46" s="1357"/>
      <c r="EQ46" s="1357"/>
      <c r="ER46" s="1357"/>
      <c r="ES46" s="1357"/>
      <c r="ET46" s="1357"/>
      <c r="EU46" s="1357"/>
      <c r="EV46" s="1357"/>
      <c r="EW46" s="1357"/>
      <c r="EX46" s="1357"/>
      <c r="EY46" s="1357"/>
      <c r="EZ46" s="1357"/>
      <c r="FA46" s="1357"/>
      <c r="FB46" s="1357"/>
      <c r="FC46" s="1357"/>
      <c r="FD46" s="1357"/>
      <c r="FE46" s="1357"/>
      <c r="FF46" s="1357"/>
      <c r="FG46" s="1357"/>
      <c r="FH46" s="1357"/>
      <c r="FI46" s="1357"/>
      <c r="FJ46" s="1357"/>
      <c r="FK46" s="1357"/>
      <c r="FL46" s="1357"/>
      <c r="FM46" s="1357"/>
      <c r="FN46" s="1357"/>
      <c r="FO46" s="1357"/>
      <c r="FP46" s="1357"/>
      <c r="FQ46" s="1357"/>
      <c r="FR46" s="1357"/>
      <c r="FS46" s="1357"/>
      <c r="FT46" s="1357"/>
      <c r="FU46" s="1357"/>
      <c r="FV46" s="1357"/>
      <c r="FW46" s="1357"/>
      <c r="FX46" s="1357"/>
      <c r="FY46" s="1357"/>
      <c r="FZ46" s="1357"/>
      <c r="GA46" s="1357"/>
      <c r="GB46" s="1357"/>
      <c r="GC46" s="1357"/>
      <c r="GD46" s="1357"/>
      <c r="GE46" s="1357"/>
      <c r="GF46" s="1357"/>
      <c r="GG46" s="1357"/>
      <c r="GH46" s="1357"/>
      <c r="GI46" s="1357"/>
      <c r="GJ46" s="1357"/>
      <c r="GK46" s="1357"/>
      <c r="GL46" s="1357"/>
      <c r="GM46" s="1357"/>
      <c r="GN46" s="1357"/>
      <c r="GO46" s="1357"/>
      <c r="GP46" s="1357"/>
      <c r="GQ46" s="1357"/>
      <c r="GR46" s="1357"/>
      <c r="GS46" s="1357"/>
      <c r="GT46" s="1357"/>
      <c r="GU46" s="1357"/>
      <c r="GV46" s="1357"/>
      <c r="GW46" s="1357"/>
      <c r="GX46" s="1357"/>
      <c r="GY46" s="1357"/>
      <c r="GZ46" s="1357"/>
      <c r="HA46" s="1357"/>
      <c r="HB46" s="1357"/>
      <c r="HC46" s="1357"/>
      <c r="HD46" s="1357"/>
      <c r="HE46" s="1357"/>
      <c r="HF46" s="1357"/>
      <c r="HG46" s="1357"/>
      <c r="HH46" s="1357"/>
      <c r="HI46" s="1357"/>
      <c r="HJ46" s="1357"/>
      <c r="HK46" s="1357"/>
      <c r="HL46" s="1357"/>
      <c r="HM46" s="1357"/>
      <c r="HN46" s="1357"/>
      <c r="HO46" s="1357"/>
      <c r="HP46" s="1357"/>
      <c r="HQ46" s="1357"/>
      <c r="HR46" s="1357"/>
      <c r="HS46" s="1357"/>
      <c r="HT46" s="1357"/>
      <c r="HU46" s="1357"/>
      <c r="HV46" s="1357"/>
      <c r="HW46" s="1357"/>
      <c r="HX46" s="1357"/>
      <c r="HY46" s="1357"/>
      <c r="HZ46" s="1357"/>
      <c r="IA46" s="1357"/>
      <c r="IB46" s="1357"/>
      <c r="IC46" s="1357"/>
      <c r="ID46" s="1357"/>
      <c r="IE46" s="1357"/>
      <c r="IF46" s="1357"/>
      <c r="IG46" s="1357"/>
      <c r="IH46" s="1357"/>
      <c r="II46" s="1357"/>
      <c r="IJ46" s="1357"/>
      <c r="IK46" s="1357"/>
      <c r="IL46" s="1357"/>
      <c r="IM46" s="1357"/>
      <c r="IN46" s="1357"/>
      <c r="IO46" s="1357"/>
      <c r="IP46" s="1357"/>
      <c r="IQ46" s="1357"/>
      <c r="IR46" s="1357"/>
      <c r="IS46" s="1357"/>
      <c r="IT46" s="1357"/>
      <c r="IU46" s="1357"/>
      <c r="IV46" s="1357"/>
    </row>
    <row r="47" spans="1:256">
      <c r="A47" s="1361">
        <f t="shared" si="9"/>
        <v>27</v>
      </c>
      <c r="B47" s="1358" t="s">
        <v>323</v>
      </c>
      <c r="C47" s="829">
        <f t="shared" si="10"/>
        <v>0</v>
      </c>
      <c r="D47" s="829">
        <f>D46+C47</f>
        <v>0</v>
      </c>
      <c r="E47" s="1358">
        <v>31</v>
      </c>
      <c r="F47" s="711">
        <v>276</v>
      </c>
      <c r="G47" s="1369">
        <f t="shared" si="6"/>
        <v>0.75616438356164384</v>
      </c>
      <c r="H47" s="829">
        <f t="shared" si="7"/>
        <v>0</v>
      </c>
      <c r="I47" s="829">
        <f t="shared" si="8"/>
        <v>0</v>
      </c>
      <c r="J47" s="1357"/>
      <c r="K47" s="1357"/>
      <c r="L47" s="1357"/>
      <c r="M47" s="1357"/>
      <c r="N47" s="1357"/>
      <c r="O47" s="1357"/>
      <c r="P47" s="1357"/>
      <c r="Q47" s="1357"/>
      <c r="R47" s="1357"/>
      <c r="S47" s="1357"/>
      <c r="T47" s="1357"/>
      <c r="U47" s="1357"/>
      <c r="V47" s="1357"/>
      <c r="W47" s="1357"/>
      <c r="X47" s="1357"/>
      <c r="Y47" s="1357"/>
      <c r="Z47" s="1357"/>
      <c r="AA47" s="1357"/>
      <c r="AB47" s="1357"/>
      <c r="AC47" s="1357"/>
      <c r="AD47" s="1357"/>
      <c r="AE47" s="1357"/>
      <c r="AF47" s="1357"/>
      <c r="AG47" s="1357"/>
      <c r="AH47" s="1357"/>
      <c r="AI47" s="1357"/>
      <c r="AJ47" s="1357"/>
      <c r="AK47" s="1357"/>
      <c r="AL47" s="1357"/>
      <c r="AM47" s="1357"/>
      <c r="AN47" s="1357"/>
      <c r="AO47" s="1357"/>
      <c r="AP47" s="1357"/>
      <c r="AQ47" s="1357"/>
      <c r="AR47" s="1357"/>
      <c r="AS47" s="1357"/>
      <c r="AT47" s="1357"/>
      <c r="AU47" s="1357"/>
      <c r="AV47" s="1357"/>
      <c r="AW47" s="1357"/>
      <c r="AX47" s="1357"/>
      <c r="AY47" s="1357"/>
      <c r="AZ47" s="1357"/>
      <c r="BA47" s="1357"/>
      <c r="BB47" s="1357"/>
      <c r="BC47" s="1357"/>
      <c r="BD47" s="1357"/>
      <c r="BE47" s="1357"/>
      <c r="BF47" s="1357"/>
      <c r="BG47" s="1357"/>
      <c r="BH47" s="1357"/>
      <c r="BI47" s="1357"/>
      <c r="BJ47" s="1357"/>
      <c r="BK47" s="1357"/>
      <c r="BL47" s="1357"/>
      <c r="BM47" s="1357"/>
      <c r="BN47" s="1357"/>
      <c r="BO47" s="1357"/>
      <c r="BP47" s="1357"/>
      <c r="BQ47" s="1357"/>
      <c r="BR47" s="1357"/>
      <c r="BS47" s="1357"/>
      <c r="BT47" s="1357"/>
      <c r="BU47" s="1357"/>
      <c r="BV47" s="1357"/>
      <c r="BW47" s="1357"/>
      <c r="BX47" s="1357"/>
      <c r="BY47" s="1357"/>
      <c r="BZ47" s="1357"/>
      <c r="CA47" s="1357"/>
      <c r="CB47" s="1357"/>
      <c r="CC47" s="1357"/>
      <c r="CD47" s="1357"/>
      <c r="CE47" s="1357"/>
      <c r="CF47" s="1357"/>
      <c r="CG47" s="1357"/>
      <c r="CH47" s="1357"/>
      <c r="CI47" s="1357"/>
      <c r="CJ47" s="1357"/>
      <c r="CK47" s="1357"/>
      <c r="CL47" s="1357"/>
      <c r="CM47" s="1357"/>
      <c r="CN47" s="1357"/>
      <c r="CO47" s="1357"/>
      <c r="CP47" s="1357"/>
      <c r="CQ47" s="1357"/>
      <c r="CR47" s="1357"/>
      <c r="CS47" s="1357"/>
      <c r="CT47" s="1357"/>
      <c r="CU47" s="1357"/>
      <c r="CV47" s="1357"/>
      <c r="CW47" s="1357"/>
      <c r="CX47" s="1357"/>
      <c r="CY47" s="1357"/>
      <c r="CZ47" s="1357"/>
      <c r="DA47" s="1357"/>
      <c r="DB47" s="1357"/>
      <c r="DC47" s="1357"/>
      <c r="DD47" s="1357"/>
      <c r="DE47" s="1357"/>
      <c r="DF47" s="1357"/>
      <c r="DG47" s="1357"/>
      <c r="DH47" s="1357"/>
      <c r="DI47" s="1357"/>
      <c r="DJ47" s="1357"/>
      <c r="DK47" s="1357"/>
      <c r="DL47" s="1357"/>
      <c r="DM47" s="1357"/>
      <c r="DN47" s="1357"/>
      <c r="DO47" s="1357"/>
      <c r="DP47" s="1357"/>
      <c r="DQ47" s="1357"/>
      <c r="DR47" s="1357"/>
      <c r="DS47" s="1357"/>
      <c r="DT47" s="1357"/>
      <c r="DU47" s="1357"/>
      <c r="DV47" s="1357"/>
      <c r="DW47" s="1357"/>
      <c r="DX47" s="1357"/>
      <c r="DY47" s="1357"/>
      <c r="DZ47" s="1357"/>
      <c r="EA47" s="1357"/>
      <c r="EB47" s="1357"/>
      <c r="EC47" s="1357"/>
      <c r="ED47" s="1357"/>
      <c r="EE47" s="1357"/>
      <c r="EF47" s="1357"/>
      <c r="EG47" s="1357"/>
      <c r="EH47" s="1357"/>
      <c r="EI47" s="1357"/>
      <c r="EJ47" s="1357"/>
      <c r="EK47" s="1357"/>
      <c r="EL47" s="1357"/>
      <c r="EM47" s="1357"/>
      <c r="EN47" s="1357"/>
      <c r="EO47" s="1357"/>
      <c r="EP47" s="1357"/>
      <c r="EQ47" s="1357"/>
      <c r="ER47" s="1357"/>
      <c r="ES47" s="1357"/>
      <c r="ET47" s="1357"/>
      <c r="EU47" s="1357"/>
      <c r="EV47" s="1357"/>
      <c r="EW47" s="1357"/>
      <c r="EX47" s="1357"/>
      <c r="EY47" s="1357"/>
      <c r="EZ47" s="1357"/>
      <c r="FA47" s="1357"/>
      <c r="FB47" s="1357"/>
      <c r="FC47" s="1357"/>
      <c r="FD47" s="1357"/>
      <c r="FE47" s="1357"/>
      <c r="FF47" s="1357"/>
      <c r="FG47" s="1357"/>
      <c r="FH47" s="1357"/>
      <c r="FI47" s="1357"/>
      <c r="FJ47" s="1357"/>
      <c r="FK47" s="1357"/>
      <c r="FL47" s="1357"/>
      <c r="FM47" s="1357"/>
      <c r="FN47" s="1357"/>
      <c r="FO47" s="1357"/>
      <c r="FP47" s="1357"/>
      <c r="FQ47" s="1357"/>
      <c r="FR47" s="1357"/>
      <c r="FS47" s="1357"/>
      <c r="FT47" s="1357"/>
      <c r="FU47" s="1357"/>
      <c r="FV47" s="1357"/>
      <c r="FW47" s="1357"/>
      <c r="FX47" s="1357"/>
      <c r="FY47" s="1357"/>
      <c r="FZ47" s="1357"/>
      <c r="GA47" s="1357"/>
      <c r="GB47" s="1357"/>
      <c r="GC47" s="1357"/>
      <c r="GD47" s="1357"/>
      <c r="GE47" s="1357"/>
      <c r="GF47" s="1357"/>
      <c r="GG47" s="1357"/>
      <c r="GH47" s="1357"/>
      <c r="GI47" s="1357"/>
      <c r="GJ47" s="1357"/>
      <c r="GK47" s="1357"/>
      <c r="GL47" s="1357"/>
      <c r="GM47" s="1357"/>
      <c r="GN47" s="1357"/>
      <c r="GO47" s="1357"/>
      <c r="GP47" s="1357"/>
      <c r="GQ47" s="1357"/>
      <c r="GR47" s="1357"/>
      <c r="GS47" s="1357"/>
      <c r="GT47" s="1357"/>
      <c r="GU47" s="1357"/>
      <c r="GV47" s="1357"/>
      <c r="GW47" s="1357"/>
      <c r="GX47" s="1357"/>
      <c r="GY47" s="1357"/>
      <c r="GZ47" s="1357"/>
      <c r="HA47" s="1357"/>
      <c r="HB47" s="1357"/>
      <c r="HC47" s="1357"/>
      <c r="HD47" s="1357"/>
      <c r="HE47" s="1357"/>
      <c r="HF47" s="1357"/>
      <c r="HG47" s="1357"/>
      <c r="HH47" s="1357"/>
      <c r="HI47" s="1357"/>
      <c r="HJ47" s="1357"/>
      <c r="HK47" s="1357"/>
      <c r="HL47" s="1357"/>
      <c r="HM47" s="1357"/>
      <c r="HN47" s="1357"/>
      <c r="HO47" s="1357"/>
      <c r="HP47" s="1357"/>
      <c r="HQ47" s="1357"/>
      <c r="HR47" s="1357"/>
      <c r="HS47" s="1357"/>
      <c r="HT47" s="1357"/>
      <c r="HU47" s="1357"/>
      <c r="HV47" s="1357"/>
      <c r="HW47" s="1357"/>
      <c r="HX47" s="1357"/>
      <c r="HY47" s="1357"/>
      <c r="HZ47" s="1357"/>
      <c r="IA47" s="1357"/>
      <c r="IB47" s="1357"/>
      <c r="IC47" s="1357"/>
      <c r="ID47" s="1357"/>
      <c r="IE47" s="1357"/>
      <c r="IF47" s="1357"/>
      <c r="IG47" s="1357"/>
      <c r="IH47" s="1357"/>
      <c r="II47" s="1357"/>
      <c r="IJ47" s="1357"/>
      <c r="IK47" s="1357"/>
      <c r="IL47" s="1357"/>
      <c r="IM47" s="1357"/>
      <c r="IN47" s="1357"/>
      <c r="IO47" s="1357"/>
      <c r="IP47" s="1357"/>
      <c r="IQ47" s="1357"/>
      <c r="IR47" s="1357"/>
      <c r="IS47" s="1357"/>
      <c r="IT47" s="1357"/>
      <c r="IU47" s="1357"/>
      <c r="IV47" s="1357"/>
    </row>
    <row r="48" spans="1:256">
      <c r="A48" s="1361">
        <f t="shared" si="9"/>
        <v>28</v>
      </c>
      <c r="B48" s="1358" t="s">
        <v>324</v>
      </c>
      <c r="C48" s="829">
        <f t="shared" si="10"/>
        <v>0</v>
      </c>
      <c r="D48" s="829">
        <f t="shared" ref="D48:D56" si="11">D47+C48</f>
        <v>0</v>
      </c>
      <c r="E48" s="1358">
        <v>30</v>
      </c>
      <c r="F48" s="711">
        <v>246</v>
      </c>
      <c r="G48" s="1369">
        <f t="shared" si="6"/>
        <v>0.67397260273972603</v>
      </c>
      <c r="H48" s="829">
        <f t="shared" si="7"/>
        <v>0</v>
      </c>
      <c r="I48" s="829">
        <f t="shared" si="8"/>
        <v>0</v>
      </c>
      <c r="J48" s="1357"/>
      <c r="K48" s="1357"/>
      <c r="L48" s="1357"/>
      <c r="M48" s="1357"/>
      <c r="N48" s="1357"/>
      <c r="O48" s="1357"/>
      <c r="P48" s="1357"/>
      <c r="Q48" s="1357"/>
      <c r="R48" s="1357"/>
      <c r="S48" s="1357"/>
      <c r="T48" s="1357"/>
      <c r="U48" s="1357"/>
      <c r="V48" s="1357"/>
      <c r="W48" s="1357"/>
      <c r="X48" s="1357"/>
      <c r="Y48" s="1357"/>
      <c r="Z48" s="1357"/>
      <c r="AA48" s="1357"/>
      <c r="AB48" s="1357"/>
      <c r="AC48" s="1357"/>
      <c r="AD48" s="1357"/>
      <c r="AE48" s="1357"/>
      <c r="AF48" s="1357"/>
      <c r="AG48" s="1357"/>
      <c r="AH48" s="1357"/>
      <c r="AI48" s="1357"/>
      <c r="AJ48" s="1357"/>
      <c r="AK48" s="1357"/>
      <c r="AL48" s="1357"/>
      <c r="AM48" s="1357"/>
      <c r="AN48" s="1357"/>
      <c r="AO48" s="1357"/>
      <c r="AP48" s="1357"/>
      <c r="AQ48" s="1357"/>
      <c r="AR48" s="1357"/>
      <c r="AS48" s="1357"/>
      <c r="AT48" s="1357"/>
      <c r="AU48" s="1357"/>
      <c r="AV48" s="1357"/>
      <c r="AW48" s="1357"/>
      <c r="AX48" s="1357"/>
      <c r="AY48" s="1357"/>
      <c r="AZ48" s="1357"/>
      <c r="BA48" s="1357"/>
      <c r="BB48" s="1357"/>
      <c r="BC48" s="1357"/>
      <c r="BD48" s="1357"/>
      <c r="BE48" s="1357"/>
      <c r="BF48" s="1357"/>
      <c r="BG48" s="1357"/>
      <c r="BH48" s="1357"/>
      <c r="BI48" s="1357"/>
      <c r="BJ48" s="1357"/>
      <c r="BK48" s="1357"/>
      <c r="BL48" s="1357"/>
      <c r="BM48" s="1357"/>
      <c r="BN48" s="1357"/>
      <c r="BO48" s="1357"/>
      <c r="BP48" s="1357"/>
      <c r="BQ48" s="1357"/>
      <c r="BR48" s="1357"/>
      <c r="BS48" s="1357"/>
      <c r="BT48" s="1357"/>
      <c r="BU48" s="1357"/>
      <c r="BV48" s="1357"/>
      <c r="BW48" s="1357"/>
      <c r="BX48" s="1357"/>
      <c r="BY48" s="1357"/>
      <c r="BZ48" s="1357"/>
      <c r="CA48" s="1357"/>
      <c r="CB48" s="1357"/>
      <c r="CC48" s="1357"/>
      <c r="CD48" s="1357"/>
      <c r="CE48" s="1357"/>
      <c r="CF48" s="1357"/>
      <c r="CG48" s="1357"/>
      <c r="CH48" s="1357"/>
      <c r="CI48" s="1357"/>
      <c r="CJ48" s="1357"/>
      <c r="CK48" s="1357"/>
      <c r="CL48" s="1357"/>
      <c r="CM48" s="1357"/>
      <c r="CN48" s="1357"/>
      <c r="CO48" s="1357"/>
      <c r="CP48" s="1357"/>
      <c r="CQ48" s="1357"/>
      <c r="CR48" s="1357"/>
      <c r="CS48" s="1357"/>
      <c r="CT48" s="1357"/>
      <c r="CU48" s="1357"/>
      <c r="CV48" s="1357"/>
      <c r="CW48" s="1357"/>
      <c r="CX48" s="1357"/>
      <c r="CY48" s="1357"/>
      <c r="CZ48" s="1357"/>
      <c r="DA48" s="1357"/>
      <c r="DB48" s="1357"/>
      <c r="DC48" s="1357"/>
      <c r="DD48" s="1357"/>
      <c r="DE48" s="1357"/>
      <c r="DF48" s="1357"/>
      <c r="DG48" s="1357"/>
      <c r="DH48" s="1357"/>
      <c r="DI48" s="1357"/>
      <c r="DJ48" s="1357"/>
      <c r="DK48" s="1357"/>
      <c r="DL48" s="1357"/>
      <c r="DM48" s="1357"/>
      <c r="DN48" s="1357"/>
      <c r="DO48" s="1357"/>
      <c r="DP48" s="1357"/>
      <c r="DQ48" s="1357"/>
      <c r="DR48" s="1357"/>
      <c r="DS48" s="1357"/>
      <c r="DT48" s="1357"/>
      <c r="DU48" s="1357"/>
      <c r="DV48" s="1357"/>
      <c r="DW48" s="1357"/>
      <c r="DX48" s="1357"/>
      <c r="DY48" s="1357"/>
      <c r="DZ48" s="1357"/>
      <c r="EA48" s="1357"/>
      <c r="EB48" s="1357"/>
      <c r="EC48" s="1357"/>
      <c r="ED48" s="1357"/>
      <c r="EE48" s="1357"/>
      <c r="EF48" s="1357"/>
      <c r="EG48" s="1357"/>
      <c r="EH48" s="1357"/>
      <c r="EI48" s="1357"/>
      <c r="EJ48" s="1357"/>
      <c r="EK48" s="1357"/>
      <c r="EL48" s="1357"/>
      <c r="EM48" s="1357"/>
      <c r="EN48" s="1357"/>
      <c r="EO48" s="1357"/>
      <c r="EP48" s="1357"/>
      <c r="EQ48" s="1357"/>
      <c r="ER48" s="1357"/>
      <c r="ES48" s="1357"/>
      <c r="ET48" s="1357"/>
      <c r="EU48" s="1357"/>
      <c r="EV48" s="1357"/>
      <c r="EW48" s="1357"/>
      <c r="EX48" s="1357"/>
      <c r="EY48" s="1357"/>
      <c r="EZ48" s="1357"/>
      <c r="FA48" s="1357"/>
      <c r="FB48" s="1357"/>
      <c r="FC48" s="1357"/>
      <c r="FD48" s="1357"/>
      <c r="FE48" s="1357"/>
      <c r="FF48" s="1357"/>
      <c r="FG48" s="1357"/>
      <c r="FH48" s="1357"/>
      <c r="FI48" s="1357"/>
      <c r="FJ48" s="1357"/>
      <c r="FK48" s="1357"/>
      <c r="FL48" s="1357"/>
      <c r="FM48" s="1357"/>
      <c r="FN48" s="1357"/>
      <c r="FO48" s="1357"/>
      <c r="FP48" s="1357"/>
      <c r="FQ48" s="1357"/>
      <c r="FR48" s="1357"/>
      <c r="FS48" s="1357"/>
      <c r="FT48" s="1357"/>
      <c r="FU48" s="1357"/>
      <c r="FV48" s="1357"/>
      <c r="FW48" s="1357"/>
      <c r="FX48" s="1357"/>
      <c r="FY48" s="1357"/>
      <c r="FZ48" s="1357"/>
      <c r="GA48" s="1357"/>
      <c r="GB48" s="1357"/>
      <c r="GC48" s="1357"/>
      <c r="GD48" s="1357"/>
      <c r="GE48" s="1357"/>
      <c r="GF48" s="1357"/>
      <c r="GG48" s="1357"/>
      <c r="GH48" s="1357"/>
      <c r="GI48" s="1357"/>
      <c r="GJ48" s="1357"/>
      <c r="GK48" s="1357"/>
      <c r="GL48" s="1357"/>
      <c r="GM48" s="1357"/>
      <c r="GN48" s="1357"/>
      <c r="GO48" s="1357"/>
      <c r="GP48" s="1357"/>
      <c r="GQ48" s="1357"/>
      <c r="GR48" s="1357"/>
      <c r="GS48" s="1357"/>
      <c r="GT48" s="1357"/>
      <c r="GU48" s="1357"/>
      <c r="GV48" s="1357"/>
      <c r="GW48" s="1357"/>
      <c r="GX48" s="1357"/>
      <c r="GY48" s="1357"/>
      <c r="GZ48" s="1357"/>
      <c r="HA48" s="1357"/>
      <c r="HB48" s="1357"/>
      <c r="HC48" s="1357"/>
      <c r="HD48" s="1357"/>
      <c r="HE48" s="1357"/>
      <c r="HF48" s="1357"/>
      <c r="HG48" s="1357"/>
      <c r="HH48" s="1357"/>
      <c r="HI48" s="1357"/>
      <c r="HJ48" s="1357"/>
      <c r="HK48" s="1357"/>
      <c r="HL48" s="1357"/>
      <c r="HM48" s="1357"/>
      <c r="HN48" s="1357"/>
      <c r="HO48" s="1357"/>
      <c r="HP48" s="1357"/>
      <c r="HQ48" s="1357"/>
      <c r="HR48" s="1357"/>
      <c r="HS48" s="1357"/>
      <c r="HT48" s="1357"/>
      <c r="HU48" s="1357"/>
      <c r="HV48" s="1357"/>
      <c r="HW48" s="1357"/>
      <c r="HX48" s="1357"/>
      <c r="HY48" s="1357"/>
      <c r="HZ48" s="1357"/>
      <c r="IA48" s="1357"/>
      <c r="IB48" s="1357"/>
      <c r="IC48" s="1357"/>
      <c r="ID48" s="1357"/>
      <c r="IE48" s="1357"/>
      <c r="IF48" s="1357"/>
      <c r="IG48" s="1357"/>
      <c r="IH48" s="1357"/>
      <c r="II48" s="1357"/>
      <c r="IJ48" s="1357"/>
      <c r="IK48" s="1357"/>
      <c r="IL48" s="1357"/>
      <c r="IM48" s="1357"/>
      <c r="IN48" s="1357"/>
      <c r="IO48" s="1357"/>
      <c r="IP48" s="1357"/>
      <c r="IQ48" s="1357"/>
      <c r="IR48" s="1357"/>
      <c r="IS48" s="1357"/>
      <c r="IT48" s="1357"/>
      <c r="IU48" s="1357"/>
      <c r="IV48" s="1357"/>
    </row>
    <row r="49" spans="1:256">
      <c r="A49" s="1361">
        <f t="shared" si="9"/>
        <v>29</v>
      </c>
      <c r="B49" s="1358" t="s">
        <v>325</v>
      </c>
      <c r="C49" s="829">
        <f t="shared" si="10"/>
        <v>0</v>
      </c>
      <c r="D49" s="829">
        <f t="shared" si="11"/>
        <v>0</v>
      </c>
      <c r="E49" s="1358">
        <v>31</v>
      </c>
      <c r="F49" s="711">
        <v>215</v>
      </c>
      <c r="G49" s="1369">
        <f t="shared" si="6"/>
        <v>0.58904109589041098</v>
      </c>
      <c r="H49" s="829">
        <f t="shared" si="7"/>
        <v>0</v>
      </c>
      <c r="I49" s="829">
        <f t="shared" si="8"/>
        <v>0</v>
      </c>
      <c r="J49" s="1357"/>
      <c r="K49" s="1357"/>
      <c r="L49" s="1357"/>
      <c r="M49" s="1357"/>
      <c r="N49" s="1357"/>
      <c r="O49" s="1357"/>
      <c r="P49" s="1357"/>
      <c r="Q49" s="1357"/>
      <c r="R49" s="1357"/>
      <c r="S49" s="1357"/>
      <c r="T49" s="1357"/>
      <c r="U49" s="1357"/>
      <c r="V49" s="1357"/>
      <c r="W49" s="1357"/>
      <c r="X49" s="1357"/>
      <c r="Y49" s="1357"/>
      <c r="Z49" s="1357"/>
      <c r="AA49" s="1357"/>
      <c r="AB49" s="1357"/>
      <c r="AC49" s="1357"/>
      <c r="AD49" s="1357"/>
      <c r="AE49" s="1357"/>
      <c r="AF49" s="1357"/>
      <c r="AG49" s="1357"/>
      <c r="AH49" s="1357"/>
      <c r="AI49" s="1357"/>
      <c r="AJ49" s="1357"/>
      <c r="AK49" s="1357"/>
      <c r="AL49" s="1357"/>
      <c r="AM49" s="1357"/>
      <c r="AN49" s="1357"/>
      <c r="AO49" s="1357"/>
      <c r="AP49" s="1357"/>
      <c r="AQ49" s="1357"/>
      <c r="AR49" s="1357"/>
      <c r="AS49" s="1357"/>
      <c r="AT49" s="1357"/>
      <c r="AU49" s="1357"/>
      <c r="AV49" s="1357"/>
      <c r="AW49" s="1357"/>
      <c r="AX49" s="1357"/>
      <c r="AY49" s="1357"/>
      <c r="AZ49" s="1357"/>
      <c r="BA49" s="1357"/>
      <c r="BB49" s="1357"/>
      <c r="BC49" s="1357"/>
      <c r="BD49" s="1357"/>
      <c r="BE49" s="1357"/>
      <c r="BF49" s="1357"/>
      <c r="BG49" s="1357"/>
      <c r="BH49" s="1357"/>
      <c r="BI49" s="1357"/>
      <c r="BJ49" s="1357"/>
      <c r="BK49" s="1357"/>
      <c r="BL49" s="1357"/>
      <c r="BM49" s="1357"/>
      <c r="BN49" s="1357"/>
      <c r="BO49" s="1357"/>
      <c r="BP49" s="1357"/>
      <c r="BQ49" s="1357"/>
      <c r="BR49" s="1357"/>
      <c r="BS49" s="1357"/>
      <c r="BT49" s="1357"/>
      <c r="BU49" s="1357"/>
      <c r="BV49" s="1357"/>
      <c r="BW49" s="1357"/>
      <c r="BX49" s="1357"/>
      <c r="BY49" s="1357"/>
      <c r="BZ49" s="1357"/>
      <c r="CA49" s="1357"/>
      <c r="CB49" s="1357"/>
      <c r="CC49" s="1357"/>
      <c r="CD49" s="1357"/>
      <c r="CE49" s="1357"/>
      <c r="CF49" s="1357"/>
      <c r="CG49" s="1357"/>
      <c r="CH49" s="1357"/>
      <c r="CI49" s="1357"/>
      <c r="CJ49" s="1357"/>
      <c r="CK49" s="1357"/>
      <c r="CL49" s="1357"/>
      <c r="CM49" s="1357"/>
      <c r="CN49" s="1357"/>
      <c r="CO49" s="1357"/>
      <c r="CP49" s="1357"/>
      <c r="CQ49" s="1357"/>
      <c r="CR49" s="1357"/>
      <c r="CS49" s="1357"/>
      <c r="CT49" s="1357"/>
      <c r="CU49" s="1357"/>
      <c r="CV49" s="1357"/>
      <c r="CW49" s="1357"/>
      <c r="CX49" s="1357"/>
      <c r="CY49" s="1357"/>
      <c r="CZ49" s="1357"/>
      <c r="DA49" s="1357"/>
      <c r="DB49" s="1357"/>
      <c r="DC49" s="1357"/>
      <c r="DD49" s="1357"/>
      <c r="DE49" s="1357"/>
      <c r="DF49" s="1357"/>
      <c r="DG49" s="1357"/>
      <c r="DH49" s="1357"/>
      <c r="DI49" s="1357"/>
      <c r="DJ49" s="1357"/>
      <c r="DK49" s="1357"/>
      <c r="DL49" s="1357"/>
      <c r="DM49" s="1357"/>
      <c r="DN49" s="1357"/>
      <c r="DO49" s="1357"/>
      <c r="DP49" s="1357"/>
      <c r="DQ49" s="1357"/>
      <c r="DR49" s="1357"/>
      <c r="DS49" s="1357"/>
      <c r="DT49" s="1357"/>
      <c r="DU49" s="1357"/>
      <c r="DV49" s="1357"/>
      <c r="DW49" s="1357"/>
      <c r="DX49" s="1357"/>
      <c r="DY49" s="1357"/>
      <c r="DZ49" s="1357"/>
      <c r="EA49" s="1357"/>
      <c r="EB49" s="1357"/>
      <c r="EC49" s="1357"/>
      <c r="ED49" s="1357"/>
      <c r="EE49" s="1357"/>
      <c r="EF49" s="1357"/>
      <c r="EG49" s="1357"/>
      <c r="EH49" s="1357"/>
      <c r="EI49" s="1357"/>
      <c r="EJ49" s="1357"/>
      <c r="EK49" s="1357"/>
      <c r="EL49" s="1357"/>
      <c r="EM49" s="1357"/>
      <c r="EN49" s="1357"/>
      <c r="EO49" s="1357"/>
      <c r="EP49" s="1357"/>
      <c r="EQ49" s="1357"/>
      <c r="ER49" s="1357"/>
      <c r="ES49" s="1357"/>
      <c r="ET49" s="1357"/>
      <c r="EU49" s="1357"/>
      <c r="EV49" s="1357"/>
      <c r="EW49" s="1357"/>
      <c r="EX49" s="1357"/>
      <c r="EY49" s="1357"/>
      <c r="EZ49" s="1357"/>
      <c r="FA49" s="1357"/>
      <c r="FB49" s="1357"/>
      <c r="FC49" s="1357"/>
      <c r="FD49" s="1357"/>
      <c r="FE49" s="1357"/>
      <c r="FF49" s="1357"/>
      <c r="FG49" s="1357"/>
      <c r="FH49" s="1357"/>
      <c r="FI49" s="1357"/>
      <c r="FJ49" s="1357"/>
      <c r="FK49" s="1357"/>
      <c r="FL49" s="1357"/>
      <c r="FM49" s="1357"/>
      <c r="FN49" s="1357"/>
      <c r="FO49" s="1357"/>
      <c r="FP49" s="1357"/>
      <c r="FQ49" s="1357"/>
      <c r="FR49" s="1357"/>
      <c r="FS49" s="1357"/>
      <c r="FT49" s="1357"/>
      <c r="FU49" s="1357"/>
      <c r="FV49" s="1357"/>
      <c r="FW49" s="1357"/>
      <c r="FX49" s="1357"/>
      <c r="FY49" s="1357"/>
      <c r="FZ49" s="1357"/>
      <c r="GA49" s="1357"/>
      <c r="GB49" s="1357"/>
      <c r="GC49" s="1357"/>
      <c r="GD49" s="1357"/>
      <c r="GE49" s="1357"/>
      <c r="GF49" s="1357"/>
      <c r="GG49" s="1357"/>
      <c r="GH49" s="1357"/>
      <c r="GI49" s="1357"/>
      <c r="GJ49" s="1357"/>
      <c r="GK49" s="1357"/>
      <c r="GL49" s="1357"/>
      <c r="GM49" s="1357"/>
      <c r="GN49" s="1357"/>
      <c r="GO49" s="1357"/>
      <c r="GP49" s="1357"/>
      <c r="GQ49" s="1357"/>
      <c r="GR49" s="1357"/>
      <c r="GS49" s="1357"/>
      <c r="GT49" s="1357"/>
      <c r="GU49" s="1357"/>
      <c r="GV49" s="1357"/>
      <c r="GW49" s="1357"/>
      <c r="GX49" s="1357"/>
      <c r="GY49" s="1357"/>
      <c r="GZ49" s="1357"/>
      <c r="HA49" s="1357"/>
      <c r="HB49" s="1357"/>
      <c r="HC49" s="1357"/>
      <c r="HD49" s="1357"/>
      <c r="HE49" s="1357"/>
      <c r="HF49" s="1357"/>
      <c r="HG49" s="1357"/>
      <c r="HH49" s="1357"/>
      <c r="HI49" s="1357"/>
      <c r="HJ49" s="1357"/>
      <c r="HK49" s="1357"/>
      <c r="HL49" s="1357"/>
      <c r="HM49" s="1357"/>
      <c r="HN49" s="1357"/>
      <c r="HO49" s="1357"/>
      <c r="HP49" s="1357"/>
      <c r="HQ49" s="1357"/>
      <c r="HR49" s="1357"/>
      <c r="HS49" s="1357"/>
      <c r="HT49" s="1357"/>
      <c r="HU49" s="1357"/>
      <c r="HV49" s="1357"/>
      <c r="HW49" s="1357"/>
      <c r="HX49" s="1357"/>
      <c r="HY49" s="1357"/>
      <c r="HZ49" s="1357"/>
      <c r="IA49" s="1357"/>
      <c r="IB49" s="1357"/>
      <c r="IC49" s="1357"/>
      <c r="ID49" s="1357"/>
      <c r="IE49" s="1357"/>
      <c r="IF49" s="1357"/>
      <c r="IG49" s="1357"/>
      <c r="IH49" s="1357"/>
      <c r="II49" s="1357"/>
      <c r="IJ49" s="1357"/>
      <c r="IK49" s="1357"/>
      <c r="IL49" s="1357"/>
      <c r="IM49" s="1357"/>
      <c r="IN49" s="1357"/>
      <c r="IO49" s="1357"/>
      <c r="IP49" s="1357"/>
      <c r="IQ49" s="1357"/>
      <c r="IR49" s="1357"/>
      <c r="IS49" s="1357"/>
      <c r="IT49" s="1357"/>
      <c r="IU49" s="1357"/>
      <c r="IV49" s="1357"/>
    </row>
    <row r="50" spans="1:256">
      <c r="A50" s="1361">
        <f t="shared" si="9"/>
        <v>30</v>
      </c>
      <c r="B50" s="1358" t="s">
        <v>48</v>
      </c>
      <c r="C50" s="829">
        <f t="shared" si="10"/>
        <v>0</v>
      </c>
      <c r="D50" s="829">
        <f t="shared" si="11"/>
        <v>0</v>
      </c>
      <c r="E50" s="1358">
        <v>30</v>
      </c>
      <c r="F50" s="711">
        <v>185</v>
      </c>
      <c r="G50" s="1369">
        <f t="shared" si="6"/>
        <v>0.50684931506849318</v>
      </c>
      <c r="H50" s="829">
        <f t="shared" si="7"/>
        <v>0</v>
      </c>
      <c r="I50" s="829">
        <f t="shared" si="8"/>
        <v>0</v>
      </c>
      <c r="J50" s="1357"/>
      <c r="K50" s="1357"/>
      <c r="L50" s="1357"/>
      <c r="M50" s="1357"/>
      <c r="N50" s="1357"/>
      <c r="O50" s="1357"/>
      <c r="P50" s="1357"/>
      <c r="Q50" s="1357"/>
      <c r="R50" s="1357"/>
      <c r="S50" s="1357"/>
      <c r="T50" s="1357"/>
      <c r="U50" s="1357"/>
      <c r="V50" s="1357"/>
      <c r="W50" s="1357"/>
      <c r="X50" s="1357"/>
      <c r="Y50" s="1357"/>
      <c r="Z50" s="1357"/>
      <c r="AA50" s="1357"/>
      <c r="AB50" s="1357"/>
      <c r="AC50" s="1357"/>
      <c r="AD50" s="1357"/>
      <c r="AE50" s="1357"/>
      <c r="AF50" s="1357"/>
      <c r="AG50" s="1357"/>
      <c r="AH50" s="1357"/>
      <c r="AI50" s="1357"/>
      <c r="AJ50" s="1357"/>
      <c r="AK50" s="1357"/>
      <c r="AL50" s="1357"/>
      <c r="AM50" s="1357"/>
      <c r="AN50" s="1357"/>
      <c r="AO50" s="1357"/>
      <c r="AP50" s="1357"/>
      <c r="AQ50" s="1357"/>
      <c r="AR50" s="1357"/>
      <c r="AS50" s="1357"/>
      <c r="AT50" s="1357"/>
      <c r="AU50" s="1357"/>
      <c r="AV50" s="1357"/>
      <c r="AW50" s="1357"/>
      <c r="AX50" s="1357"/>
      <c r="AY50" s="1357"/>
      <c r="AZ50" s="1357"/>
      <c r="BA50" s="1357"/>
      <c r="BB50" s="1357"/>
      <c r="BC50" s="1357"/>
      <c r="BD50" s="1357"/>
      <c r="BE50" s="1357"/>
      <c r="BF50" s="1357"/>
      <c r="BG50" s="1357"/>
      <c r="BH50" s="1357"/>
      <c r="BI50" s="1357"/>
      <c r="BJ50" s="1357"/>
      <c r="BK50" s="1357"/>
      <c r="BL50" s="1357"/>
      <c r="BM50" s="1357"/>
      <c r="BN50" s="1357"/>
      <c r="BO50" s="1357"/>
      <c r="BP50" s="1357"/>
      <c r="BQ50" s="1357"/>
      <c r="BR50" s="1357"/>
      <c r="BS50" s="1357"/>
      <c r="BT50" s="1357"/>
      <c r="BU50" s="1357"/>
      <c r="BV50" s="1357"/>
      <c r="BW50" s="1357"/>
      <c r="BX50" s="1357"/>
      <c r="BY50" s="1357"/>
      <c r="BZ50" s="1357"/>
      <c r="CA50" s="1357"/>
      <c r="CB50" s="1357"/>
      <c r="CC50" s="1357"/>
      <c r="CD50" s="1357"/>
      <c r="CE50" s="1357"/>
      <c r="CF50" s="1357"/>
      <c r="CG50" s="1357"/>
      <c r="CH50" s="1357"/>
      <c r="CI50" s="1357"/>
      <c r="CJ50" s="1357"/>
      <c r="CK50" s="1357"/>
      <c r="CL50" s="1357"/>
      <c r="CM50" s="1357"/>
      <c r="CN50" s="1357"/>
      <c r="CO50" s="1357"/>
      <c r="CP50" s="1357"/>
      <c r="CQ50" s="1357"/>
      <c r="CR50" s="1357"/>
      <c r="CS50" s="1357"/>
      <c r="CT50" s="1357"/>
      <c r="CU50" s="1357"/>
      <c r="CV50" s="1357"/>
      <c r="CW50" s="1357"/>
      <c r="CX50" s="1357"/>
      <c r="CY50" s="1357"/>
      <c r="CZ50" s="1357"/>
      <c r="DA50" s="1357"/>
      <c r="DB50" s="1357"/>
      <c r="DC50" s="1357"/>
      <c r="DD50" s="1357"/>
      <c r="DE50" s="1357"/>
      <c r="DF50" s="1357"/>
      <c r="DG50" s="1357"/>
      <c r="DH50" s="1357"/>
      <c r="DI50" s="1357"/>
      <c r="DJ50" s="1357"/>
      <c r="DK50" s="1357"/>
      <c r="DL50" s="1357"/>
      <c r="DM50" s="1357"/>
      <c r="DN50" s="1357"/>
      <c r="DO50" s="1357"/>
      <c r="DP50" s="1357"/>
      <c r="DQ50" s="1357"/>
      <c r="DR50" s="1357"/>
      <c r="DS50" s="1357"/>
      <c r="DT50" s="1357"/>
      <c r="DU50" s="1357"/>
      <c r="DV50" s="1357"/>
      <c r="DW50" s="1357"/>
      <c r="DX50" s="1357"/>
      <c r="DY50" s="1357"/>
      <c r="DZ50" s="1357"/>
      <c r="EA50" s="1357"/>
      <c r="EB50" s="1357"/>
      <c r="EC50" s="1357"/>
      <c r="ED50" s="1357"/>
      <c r="EE50" s="1357"/>
      <c r="EF50" s="1357"/>
      <c r="EG50" s="1357"/>
      <c r="EH50" s="1357"/>
      <c r="EI50" s="1357"/>
      <c r="EJ50" s="1357"/>
      <c r="EK50" s="1357"/>
      <c r="EL50" s="1357"/>
      <c r="EM50" s="1357"/>
      <c r="EN50" s="1357"/>
      <c r="EO50" s="1357"/>
      <c r="EP50" s="1357"/>
      <c r="EQ50" s="1357"/>
      <c r="ER50" s="1357"/>
      <c r="ES50" s="1357"/>
      <c r="ET50" s="1357"/>
      <c r="EU50" s="1357"/>
      <c r="EV50" s="1357"/>
      <c r="EW50" s="1357"/>
      <c r="EX50" s="1357"/>
      <c r="EY50" s="1357"/>
      <c r="EZ50" s="1357"/>
      <c r="FA50" s="1357"/>
      <c r="FB50" s="1357"/>
      <c r="FC50" s="1357"/>
      <c r="FD50" s="1357"/>
      <c r="FE50" s="1357"/>
      <c r="FF50" s="1357"/>
      <c r="FG50" s="1357"/>
      <c r="FH50" s="1357"/>
      <c r="FI50" s="1357"/>
      <c r="FJ50" s="1357"/>
      <c r="FK50" s="1357"/>
      <c r="FL50" s="1357"/>
      <c r="FM50" s="1357"/>
      <c r="FN50" s="1357"/>
      <c r="FO50" s="1357"/>
      <c r="FP50" s="1357"/>
      <c r="FQ50" s="1357"/>
      <c r="FR50" s="1357"/>
      <c r="FS50" s="1357"/>
      <c r="FT50" s="1357"/>
      <c r="FU50" s="1357"/>
      <c r="FV50" s="1357"/>
      <c r="FW50" s="1357"/>
      <c r="FX50" s="1357"/>
      <c r="FY50" s="1357"/>
      <c r="FZ50" s="1357"/>
      <c r="GA50" s="1357"/>
      <c r="GB50" s="1357"/>
      <c r="GC50" s="1357"/>
      <c r="GD50" s="1357"/>
      <c r="GE50" s="1357"/>
      <c r="GF50" s="1357"/>
      <c r="GG50" s="1357"/>
      <c r="GH50" s="1357"/>
      <c r="GI50" s="1357"/>
      <c r="GJ50" s="1357"/>
      <c r="GK50" s="1357"/>
      <c r="GL50" s="1357"/>
      <c r="GM50" s="1357"/>
      <c r="GN50" s="1357"/>
      <c r="GO50" s="1357"/>
      <c r="GP50" s="1357"/>
      <c r="GQ50" s="1357"/>
      <c r="GR50" s="1357"/>
      <c r="GS50" s="1357"/>
      <c r="GT50" s="1357"/>
      <c r="GU50" s="1357"/>
      <c r="GV50" s="1357"/>
      <c r="GW50" s="1357"/>
      <c r="GX50" s="1357"/>
      <c r="GY50" s="1357"/>
      <c r="GZ50" s="1357"/>
      <c r="HA50" s="1357"/>
      <c r="HB50" s="1357"/>
      <c r="HC50" s="1357"/>
      <c r="HD50" s="1357"/>
      <c r="HE50" s="1357"/>
      <c r="HF50" s="1357"/>
      <c r="HG50" s="1357"/>
      <c r="HH50" s="1357"/>
      <c r="HI50" s="1357"/>
      <c r="HJ50" s="1357"/>
      <c r="HK50" s="1357"/>
      <c r="HL50" s="1357"/>
      <c r="HM50" s="1357"/>
      <c r="HN50" s="1357"/>
      <c r="HO50" s="1357"/>
      <c r="HP50" s="1357"/>
      <c r="HQ50" s="1357"/>
      <c r="HR50" s="1357"/>
      <c r="HS50" s="1357"/>
      <c r="HT50" s="1357"/>
      <c r="HU50" s="1357"/>
      <c r="HV50" s="1357"/>
      <c r="HW50" s="1357"/>
      <c r="HX50" s="1357"/>
      <c r="HY50" s="1357"/>
      <c r="HZ50" s="1357"/>
      <c r="IA50" s="1357"/>
      <c r="IB50" s="1357"/>
      <c r="IC50" s="1357"/>
      <c r="ID50" s="1357"/>
      <c r="IE50" s="1357"/>
      <c r="IF50" s="1357"/>
      <c r="IG50" s="1357"/>
      <c r="IH50" s="1357"/>
      <c r="II50" s="1357"/>
      <c r="IJ50" s="1357"/>
      <c r="IK50" s="1357"/>
      <c r="IL50" s="1357"/>
      <c r="IM50" s="1357"/>
      <c r="IN50" s="1357"/>
      <c r="IO50" s="1357"/>
      <c r="IP50" s="1357"/>
      <c r="IQ50" s="1357"/>
      <c r="IR50" s="1357"/>
      <c r="IS50" s="1357"/>
      <c r="IT50" s="1357"/>
      <c r="IU50" s="1357"/>
      <c r="IV50" s="1357"/>
    </row>
    <row r="51" spans="1:256">
      <c r="A51" s="1361">
        <f t="shared" si="9"/>
        <v>31</v>
      </c>
      <c r="B51" s="1358" t="s">
        <v>326</v>
      </c>
      <c r="C51" s="829">
        <f t="shared" si="10"/>
        <v>0</v>
      </c>
      <c r="D51" s="829">
        <f t="shared" si="11"/>
        <v>0</v>
      </c>
      <c r="E51" s="1358">
        <v>31</v>
      </c>
      <c r="F51" s="711">
        <v>154</v>
      </c>
      <c r="G51" s="1369">
        <f t="shared" si="6"/>
        <v>0.42191780821917807</v>
      </c>
      <c r="H51" s="829">
        <f t="shared" si="7"/>
        <v>0</v>
      </c>
      <c r="I51" s="829">
        <f t="shared" si="8"/>
        <v>0</v>
      </c>
      <c r="J51" s="1357"/>
      <c r="K51" s="1357"/>
      <c r="L51" s="1357"/>
      <c r="M51" s="1357"/>
      <c r="N51" s="1357"/>
      <c r="O51" s="1357"/>
      <c r="P51" s="1357"/>
      <c r="Q51" s="1357"/>
      <c r="R51" s="1357"/>
      <c r="S51" s="1357"/>
      <c r="T51" s="1357"/>
      <c r="U51" s="1357"/>
      <c r="V51" s="1357"/>
      <c r="W51" s="1357"/>
      <c r="X51" s="1357"/>
      <c r="Y51" s="1357"/>
      <c r="Z51" s="1357"/>
      <c r="AA51" s="1357"/>
      <c r="AB51" s="1357"/>
      <c r="AC51" s="1357"/>
      <c r="AD51" s="1357"/>
      <c r="AE51" s="1357"/>
      <c r="AF51" s="1357"/>
      <c r="AG51" s="1357"/>
      <c r="AH51" s="1357"/>
      <c r="AI51" s="1357"/>
      <c r="AJ51" s="1357"/>
      <c r="AK51" s="1357"/>
      <c r="AL51" s="1357"/>
      <c r="AM51" s="1357"/>
      <c r="AN51" s="1357"/>
      <c r="AO51" s="1357"/>
      <c r="AP51" s="1357"/>
      <c r="AQ51" s="1357"/>
      <c r="AR51" s="1357"/>
      <c r="AS51" s="1357"/>
      <c r="AT51" s="1357"/>
      <c r="AU51" s="1357"/>
      <c r="AV51" s="1357"/>
      <c r="AW51" s="1357"/>
      <c r="AX51" s="1357"/>
      <c r="AY51" s="1357"/>
      <c r="AZ51" s="1357"/>
      <c r="BA51" s="1357"/>
      <c r="BB51" s="1357"/>
      <c r="BC51" s="1357"/>
      <c r="BD51" s="1357"/>
      <c r="BE51" s="1357"/>
      <c r="BF51" s="1357"/>
      <c r="BG51" s="1357"/>
      <c r="BH51" s="1357"/>
      <c r="BI51" s="1357"/>
      <c r="BJ51" s="1357"/>
      <c r="BK51" s="1357"/>
      <c r="BL51" s="1357"/>
      <c r="BM51" s="1357"/>
      <c r="BN51" s="1357"/>
      <c r="BO51" s="1357"/>
      <c r="BP51" s="1357"/>
      <c r="BQ51" s="1357"/>
      <c r="BR51" s="1357"/>
      <c r="BS51" s="1357"/>
      <c r="BT51" s="1357"/>
      <c r="BU51" s="1357"/>
      <c r="BV51" s="1357"/>
      <c r="BW51" s="1357"/>
      <c r="BX51" s="1357"/>
      <c r="BY51" s="1357"/>
      <c r="BZ51" s="1357"/>
      <c r="CA51" s="1357"/>
      <c r="CB51" s="1357"/>
      <c r="CC51" s="1357"/>
      <c r="CD51" s="1357"/>
      <c r="CE51" s="1357"/>
      <c r="CF51" s="1357"/>
      <c r="CG51" s="1357"/>
      <c r="CH51" s="1357"/>
      <c r="CI51" s="1357"/>
      <c r="CJ51" s="1357"/>
      <c r="CK51" s="1357"/>
      <c r="CL51" s="1357"/>
      <c r="CM51" s="1357"/>
      <c r="CN51" s="1357"/>
      <c r="CO51" s="1357"/>
      <c r="CP51" s="1357"/>
      <c r="CQ51" s="1357"/>
      <c r="CR51" s="1357"/>
      <c r="CS51" s="1357"/>
      <c r="CT51" s="1357"/>
      <c r="CU51" s="1357"/>
      <c r="CV51" s="1357"/>
      <c r="CW51" s="1357"/>
      <c r="CX51" s="1357"/>
      <c r="CY51" s="1357"/>
      <c r="CZ51" s="1357"/>
      <c r="DA51" s="1357"/>
      <c r="DB51" s="1357"/>
      <c r="DC51" s="1357"/>
      <c r="DD51" s="1357"/>
      <c r="DE51" s="1357"/>
      <c r="DF51" s="1357"/>
      <c r="DG51" s="1357"/>
      <c r="DH51" s="1357"/>
      <c r="DI51" s="1357"/>
      <c r="DJ51" s="1357"/>
      <c r="DK51" s="1357"/>
      <c r="DL51" s="1357"/>
      <c r="DM51" s="1357"/>
      <c r="DN51" s="1357"/>
      <c r="DO51" s="1357"/>
      <c r="DP51" s="1357"/>
      <c r="DQ51" s="1357"/>
      <c r="DR51" s="1357"/>
      <c r="DS51" s="1357"/>
      <c r="DT51" s="1357"/>
      <c r="DU51" s="1357"/>
      <c r="DV51" s="1357"/>
      <c r="DW51" s="1357"/>
      <c r="DX51" s="1357"/>
      <c r="DY51" s="1357"/>
      <c r="DZ51" s="1357"/>
      <c r="EA51" s="1357"/>
      <c r="EB51" s="1357"/>
      <c r="EC51" s="1357"/>
      <c r="ED51" s="1357"/>
      <c r="EE51" s="1357"/>
      <c r="EF51" s="1357"/>
      <c r="EG51" s="1357"/>
      <c r="EH51" s="1357"/>
      <c r="EI51" s="1357"/>
      <c r="EJ51" s="1357"/>
      <c r="EK51" s="1357"/>
      <c r="EL51" s="1357"/>
      <c r="EM51" s="1357"/>
      <c r="EN51" s="1357"/>
      <c r="EO51" s="1357"/>
      <c r="EP51" s="1357"/>
      <c r="EQ51" s="1357"/>
      <c r="ER51" s="1357"/>
      <c r="ES51" s="1357"/>
      <c r="ET51" s="1357"/>
      <c r="EU51" s="1357"/>
      <c r="EV51" s="1357"/>
      <c r="EW51" s="1357"/>
      <c r="EX51" s="1357"/>
      <c r="EY51" s="1357"/>
      <c r="EZ51" s="1357"/>
      <c r="FA51" s="1357"/>
      <c r="FB51" s="1357"/>
      <c r="FC51" s="1357"/>
      <c r="FD51" s="1357"/>
      <c r="FE51" s="1357"/>
      <c r="FF51" s="1357"/>
      <c r="FG51" s="1357"/>
      <c r="FH51" s="1357"/>
      <c r="FI51" s="1357"/>
      <c r="FJ51" s="1357"/>
      <c r="FK51" s="1357"/>
      <c r="FL51" s="1357"/>
      <c r="FM51" s="1357"/>
      <c r="FN51" s="1357"/>
      <c r="FO51" s="1357"/>
      <c r="FP51" s="1357"/>
      <c r="FQ51" s="1357"/>
      <c r="FR51" s="1357"/>
      <c r="FS51" s="1357"/>
      <c r="FT51" s="1357"/>
      <c r="FU51" s="1357"/>
      <c r="FV51" s="1357"/>
      <c r="FW51" s="1357"/>
      <c r="FX51" s="1357"/>
      <c r="FY51" s="1357"/>
      <c r="FZ51" s="1357"/>
      <c r="GA51" s="1357"/>
      <c r="GB51" s="1357"/>
      <c r="GC51" s="1357"/>
      <c r="GD51" s="1357"/>
      <c r="GE51" s="1357"/>
      <c r="GF51" s="1357"/>
      <c r="GG51" s="1357"/>
      <c r="GH51" s="1357"/>
      <c r="GI51" s="1357"/>
      <c r="GJ51" s="1357"/>
      <c r="GK51" s="1357"/>
      <c r="GL51" s="1357"/>
      <c r="GM51" s="1357"/>
      <c r="GN51" s="1357"/>
      <c r="GO51" s="1357"/>
      <c r="GP51" s="1357"/>
      <c r="GQ51" s="1357"/>
      <c r="GR51" s="1357"/>
      <c r="GS51" s="1357"/>
      <c r="GT51" s="1357"/>
      <c r="GU51" s="1357"/>
      <c r="GV51" s="1357"/>
      <c r="GW51" s="1357"/>
      <c r="GX51" s="1357"/>
      <c r="GY51" s="1357"/>
      <c r="GZ51" s="1357"/>
      <c r="HA51" s="1357"/>
      <c r="HB51" s="1357"/>
      <c r="HC51" s="1357"/>
      <c r="HD51" s="1357"/>
      <c r="HE51" s="1357"/>
      <c r="HF51" s="1357"/>
      <c r="HG51" s="1357"/>
      <c r="HH51" s="1357"/>
      <c r="HI51" s="1357"/>
      <c r="HJ51" s="1357"/>
      <c r="HK51" s="1357"/>
      <c r="HL51" s="1357"/>
      <c r="HM51" s="1357"/>
      <c r="HN51" s="1357"/>
      <c r="HO51" s="1357"/>
      <c r="HP51" s="1357"/>
      <c r="HQ51" s="1357"/>
      <c r="HR51" s="1357"/>
      <c r="HS51" s="1357"/>
      <c r="HT51" s="1357"/>
      <c r="HU51" s="1357"/>
      <c r="HV51" s="1357"/>
      <c r="HW51" s="1357"/>
      <c r="HX51" s="1357"/>
      <c r="HY51" s="1357"/>
      <c r="HZ51" s="1357"/>
      <c r="IA51" s="1357"/>
      <c r="IB51" s="1357"/>
      <c r="IC51" s="1357"/>
      <c r="ID51" s="1357"/>
      <c r="IE51" s="1357"/>
      <c r="IF51" s="1357"/>
      <c r="IG51" s="1357"/>
      <c r="IH51" s="1357"/>
      <c r="II51" s="1357"/>
      <c r="IJ51" s="1357"/>
      <c r="IK51" s="1357"/>
      <c r="IL51" s="1357"/>
      <c r="IM51" s="1357"/>
      <c r="IN51" s="1357"/>
      <c r="IO51" s="1357"/>
      <c r="IP51" s="1357"/>
      <c r="IQ51" s="1357"/>
      <c r="IR51" s="1357"/>
      <c r="IS51" s="1357"/>
      <c r="IT51" s="1357"/>
      <c r="IU51" s="1357"/>
      <c r="IV51" s="1357"/>
    </row>
    <row r="52" spans="1:256">
      <c r="A52" s="1361">
        <f t="shared" si="9"/>
        <v>32</v>
      </c>
      <c r="B52" s="1358" t="s">
        <v>327</v>
      </c>
      <c r="C52" s="829">
        <f t="shared" si="10"/>
        <v>0</v>
      </c>
      <c r="D52" s="829">
        <f t="shared" si="11"/>
        <v>0</v>
      </c>
      <c r="E52" s="1358">
        <v>31</v>
      </c>
      <c r="F52" s="711">
        <v>123</v>
      </c>
      <c r="G52" s="1369">
        <f t="shared" si="6"/>
        <v>0.33698630136986302</v>
      </c>
      <c r="H52" s="829">
        <f t="shared" si="7"/>
        <v>0</v>
      </c>
      <c r="I52" s="829">
        <f t="shared" si="8"/>
        <v>0</v>
      </c>
      <c r="J52" s="1357"/>
      <c r="K52" s="1357"/>
      <c r="L52" s="1357"/>
      <c r="M52" s="1357"/>
      <c r="N52" s="1357"/>
      <c r="O52" s="1357"/>
      <c r="P52" s="1357"/>
      <c r="Q52" s="1357"/>
      <c r="R52" s="1357"/>
      <c r="S52" s="1357"/>
      <c r="T52" s="1357"/>
      <c r="U52" s="1357"/>
      <c r="V52" s="1357"/>
      <c r="W52" s="1357"/>
      <c r="X52" s="1357"/>
      <c r="Y52" s="1357"/>
      <c r="Z52" s="1357"/>
      <c r="AA52" s="1357"/>
      <c r="AB52" s="1357"/>
      <c r="AC52" s="1357"/>
      <c r="AD52" s="1357"/>
      <c r="AE52" s="1357"/>
      <c r="AF52" s="1357"/>
      <c r="AG52" s="1357"/>
      <c r="AH52" s="1357"/>
      <c r="AI52" s="1357"/>
      <c r="AJ52" s="1357"/>
      <c r="AK52" s="1357"/>
      <c r="AL52" s="1357"/>
      <c r="AM52" s="1357"/>
      <c r="AN52" s="1357"/>
      <c r="AO52" s="1357"/>
      <c r="AP52" s="1357"/>
      <c r="AQ52" s="1357"/>
      <c r="AR52" s="1357"/>
      <c r="AS52" s="1357"/>
      <c r="AT52" s="1357"/>
      <c r="AU52" s="1357"/>
      <c r="AV52" s="1357"/>
      <c r="AW52" s="1357"/>
      <c r="AX52" s="1357"/>
      <c r="AY52" s="1357"/>
      <c r="AZ52" s="1357"/>
      <c r="BA52" s="1357"/>
      <c r="BB52" s="1357"/>
      <c r="BC52" s="1357"/>
      <c r="BD52" s="1357"/>
      <c r="BE52" s="1357"/>
      <c r="BF52" s="1357"/>
      <c r="BG52" s="1357"/>
      <c r="BH52" s="1357"/>
      <c r="BI52" s="1357"/>
      <c r="BJ52" s="1357"/>
      <c r="BK52" s="1357"/>
      <c r="BL52" s="1357"/>
      <c r="BM52" s="1357"/>
      <c r="BN52" s="1357"/>
      <c r="BO52" s="1357"/>
      <c r="BP52" s="1357"/>
      <c r="BQ52" s="1357"/>
      <c r="BR52" s="1357"/>
      <c r="BS52" s="1357"/>
      <c r="BT52" s="1357"/>
      <c r="BU52" s="1357"/>
      <c r="BV52" s="1357"/>
      <c r="BW52" s="1357"/>
      <c r="BX52" s="1357"/>
      <c r="BY52" s="1357"/>
      <c r="BZ52" s="1357"/>
      <c r="CA52" s="1357"/>
      <c r="CB52" s="1357"/>
      <c r="CC52" s="1357"/>
      <c r="CD52" s="1357"/>
      <c r="CE52" s="1357"/>
      <c r="CF52" s="1357"/>
      <c r="CG52" s="1357"/>
      <c r="CH52" s="1357"/>
      <c r="CI52" s="1357"/>
      <c r="CJ52" s="1357"/>
      <c r="CK52" s="1357"/>
      <c r="CL52" s="1357"/>
      <c r="CM52" s="1357"/>
      <c r="CN52" s="1357"/>
      <c r="CO52" s="1357"/>
      <c r="CP52" s="1357"/>
      <c r="CQ52" s="1357"/>
      <c r="CR52" s="1357"/>
      <c r="CS52" s="1357"/>
      <c r="CT52" s="1357"/>
      <c r="CU52" s="1357"/>
      <c r="CV52" s="1357"/>
      <c r="CW52" s="1357"/>
      <c r="CX52" s="1357"/>
      <c r="CY52" s="1357"/>
      <c r="CZ52" s="1357"/>
      <c r="DA52" s="1357"/>
      <c r="DB52" s="1357"/>
      <c r="DC52" s="1357"/>
      <c r="DD52" s="1357"/>
      <c r="DE52" s="1357"/>
      <c r="DF52" s="1357"/>
      <c r="DG52" s="1357"/>
      <c r="DH52" s="1357"/>
      <c r="DI52" s="1357"/>
      <c r="DJ52" s="1357"/>
      <c r="DK52" s="1357"/>
      <c r="DL52" s="1357"/>
      <c r="DM52" s="1357"/>
      <c r="DN52" s="1357"/>
      <c r="DO52" s="1357"/>
      <c r="DP52" s="1357"/>
      <c r="DQ52" s="1357"/>
      <c r="DR52" s="1357"/>
      <c r="DS52" s="1357"/>
      <c r="DT52" s="1357"/>
      <c r="DU52" s="1357"/>
      <c r="DV52" s="1357"/>
      <c r="DW52" s="1357"/>
      <c r="DX52" s="1357"/>
      <c r="DY52" s="1357"/>
      <c r="DZ52" s="1357"/>
      <c r="EA52" s="1357"/>
      <c r="EB52" s="1357"/>
      <c r="EC52" s="1357"/>
      <c r="ED52" s="1357"/>
      <c r="EE52" s="1357"/>
      <c r="EF52" s="1357"/>
      <c r="EG52" s="1357"/>
      <c r="EH52" s="1357"/>
      <c r="EI52" s="1357"/>
      <c r="EJ52" s="1357"/>
      <c r="EK52" s="1357"/>
      <c r="EL52" s="1357"/>
      <c r="EM52" s="1357"/>
      <c r="EN52" s="1357"/>
      <c r="EO52" s="1357"/>
      <c r="EP52" s="1357"/>
      <c r="EQ52" s="1357"/>
      <c r="ER52" s="1357"/>
      <c r="ES52" s="1357"/>
      <c r="ET52" s="1357"/>
      <c r="EU52" s="1357"/>
      <c r="EV52" s="1357"/>
      <c r="EW52" s="1357"/>
      <c r="EX52" s="1357"/>
      <c r="EY52" s="1357"/>
      <c r="EZ52" s="1357"/>
      <c r="FA52" s="1357"/>
      <c r="FB52" s="1357"/>
      <c r="FC52" s="1357"/>
      <c r="FD52" s="1357"/>
      <c r="FE52" s="1357"/>
      <c r="FF52" s="1357"/>
      <c r="FG52" s="1357"/>
      <c r="FH52" s="1357"/>
      <c r="FI52" s="1357"/>
      <c r="FJ52" s="1357"/>
      <c r="FK52" s="1357"/>
      <c r="FL52" s="1357"/>
      <c r="FM52" s="1357"/>
      <c r="FN52" s="1357"/>
      <c r="FO52" s="1357"/>
      <c r="FP52" s="1357"/>
      <c r="FQ52" s="1357"/>
      <c r="FR52" s="1357"/>
      <c r="FS52" s="1357"/>
      <c r="FT52" s="1357"/>
      <c r="FU52" s="1357"/>
      <c r="FV52" s="1357"/>
      <c r="FW52" s="1357"/>
      <c r="FX52" s="1357"/>
      <c r="FY52" s="1357"/>
      <c r="FZ52" s="1357"/>
      <c r="GA52" s="1357"/>
      <c r="GB52" s="1357"/>
      <c r="GC52" s="1357"/>
      <c r="GD52" s="1357"/>
      <c r="GE52" s="1357"/>
      <c r="GF52" s="1357"/>
      <c r="GG52" s="1357"/>
      <c r="GH52" s="1357"/>
      <c r="GI52" s="1357"/>
      <c r="GJ52" s="1357"/>
      <c r="GK52" s="1357"/>
      <c r="GL52" s="1357"/>
      <c r="GM52" s="1357"/>
      <c r="GN52" s="1357"/>
      <c r="GO52" s="1357"/>
      <c r="GP52" s="1357"/>
      <c r="GQ52" s="1357"/>
      <c r="GR52" s="1357"/>
      <c r="GS52" s="1357"/>
      <c r="GT52" s="1357"/>
      <c r="GU52" s="1357"/>
      <c r="GV52" s="1357"/>
      <c r="GW52" s="1357"/>
      <c r="GX52" s="1357"/>
      <c r="GY52" s="1357"/>
      <c r="GZ52" s="1357"/>
      <c r="HA52" s="1357"/>
      <c r="HB52" s="1357"/>
      <c r="HC52" s="1357"/>
      <c r="HD52" s="1357"/>
      <c r="HE52" s="1357"/>
      <c r="HF52" s="1357"/>
      <c r="HG52" s="1357"/>
      <c r="HH52" s="1357"/>
      <c r="HI52" s="1357"/>
      <c r="HJ52" s="1357"/>
      <c r="HK52" s="1357"/>
      <c r="HL52" s="1357"/>
      <c r="HM52" s="1357"/>
      <c r="HN52" s="1357"/>
      <c r="HO52" s="1357"/>
      <c r="HP52" s="1357"/>
      <c r="HQ52" s="1357"/>
      <c r="HR52" s="1357"/>
      <c r="HS52" s="1357"/>
      <c r="HT52" s="1357"/>
      <c r="HU52" s="1357"/>
      <c r="HV52" s="1357"/>
      <c r="HW52" s="1357"/>
      <c r="HX52" s="1357"/>
      <c r="HY52" s="1357"/>
      <c r="HZ52" s="1357"/>
      <c r="IA52" s="1357"/>
      <c r="IB52" s="1357"/>
      <c r="IC52" s="1357"/>
      <c r="ID52" s="1357"/>
      <c r="IE52" s="1357"/>
      <c r="IF52" s="1357"/>
      <c r="IG52" s="1357"/>
      <c r="IH52" s="1357"/>
      <c r="II52" s="1357"/>
      <c r="IJ52" s="1357"/>
      <c r="IK52" s="1357"/>
      <c r="IL52" s="1357"/>
      <c r="IM52" s="1357"/>
      <c r="IN52" s="1357"/>
      <c r="IO52" s="1357"/>
      <c r="IP52" s="1357"/>
      <c r="IQ52" s="1357"/>
      <c r="IR52" s="1357"/>
      <c r="IS52" s="1357"/>
      <c r="IT52" s="1357"/>
      <c r="IU52" s="1357"/>
      <c r="IV52" s="1357"/>
    </row>
    <row r="53" spans="1:256">
      <c r="A53" s="1361">
        <f t="shared" si="9"/>
        <v>33</v>
      </c>
      <c r="B53" s="1358" t="s">
        <v>329</v>
      </c>
      <c r="C53" s="829">
        <f t="shared" si="10"/>
        <v>0</v>
      </c>
      <c r="D53" s="829">
        <f t="shared" si="11"/>
        <v>0</v>
      </c>
      <c r="E53" s="1358">
        <v>30</v>
      </c>
      <c r="F53" s="711">
        <v>93</v>
      </c>
      <c r="G53" s="1369">
        <f t="shared" si="6"/>
        <v>0.25479452054794521</v>
      </c>
      <c r="H53" s="829">
        <f t="shared" si="7"/>
        <v>0</v>
      </c>
      <c r="I53" s="829">
        <f t="shared" si="8"/>
        <v>0</v>
      </c>
      <c r="J53" s="1357"/>
      <c r="K53" s="1357"/>
      <c r="L53" s="1357"/>
      <c r="M53" s="1357"/>
      <c r="N53" s="1357"/>
      <c r="O53" s="1357"/>
      <c r="P53" s="1357"/>
      <c r="Q53" s="1357"/>
      <c r="R53" s="1357"/>
      <c r="S53" s="1357"/>
      <c r="T53" s="1357"/>
      <c r="U53" s="1357"/>
      <c r="V53" s="1357"/>
      <c r="W53" s="1357"/>
      <c r="X53" s="1357"/>
      <c r="Y53" s="1357"/>
      <c r="Z53" s="1357"/>
      <c r="AA53" s="1357"/>
      <c r="AB53" s="1357"/>
      <c r="AC53" s="1357"/>
      <c r="AD53" s="1357"/>
      <c r="AE53" s="1357"/>
      <c r="AF53" s="1357"/>
      <c r="AG53" s="1357"/>
      <c r="AH53" s="1357"/>
      <c r="AI53" s="1357"/>
      <c r="AJ53" s="1357"/>
      <c r="AK53" s="1357"/>
      <c r="AL53" s="1357"/>
      <c r="AM53" s="1357"/>
      <c r="AN53" s="1357"/>
      <c r="AO53" s="1357"/>
      <c r="AP53" s="1357"/>
      <c r="AQ53" s="1357"/>
      <c r="AR53" s="1357"/>
      <c r="AS53" s="1357"/>
      <c r="AT53" s="1357"/>
      <c r="AU53" s="1357"/>
      <c r="AV53" s="1357"/>
      <c r="AW53" s="1357"/>
      <c r="AX53" s="1357"/>
      <c r="AY53" s="1357"/>
      <c r="AZ53" s="1357"/>
      <c r="BA53" s="1357"/>
      <c r="BB53" s="1357"/>
      <c r="BC53" s="1357"/>
      <c r="BD53" s="1357"/>
      <c r="BE53" s="1357"/>
      <c r="BF53" s="1357"/>
      <c r="BG53" s="1357"/>
      <c r="BH53" s="1357"/>
      <c r="BI53" s="1357"/>
      <c r="BJ53" s="1357"/>
      <c r="BK53" s="1357"/>
      <c r="BL53" s="1357"/>
      <c r="BM53" s="1357"/>
      <c r="BN53" s="1357"/>
      <c r="BO53" s="1357"/>
      <c r="BP53" s="1357"/>
      <c r="BQ53" s="1357"/>
      <c r="BR53" s="1357"/>
      <c r="BS53" s="1357"/>
      <c r="BT53" s="1357"/>
      <c r="BU53" s="1357"/>
      <c r="BV53" s="1357"/>
      <c r="BW53" s="1357"/>
      <c r="BX53" s="1357"/>
      <c r="BY53" s="1357"/>
      <c r="BZ53" s="1357"/>
      <c r="CA53" s="1357"/>
      <c r="CB53" s="1357"/>
      <c r="CC53" s="1357"/>
      <c r="CD53" s="1357"/>
      <c r="CE53" s="1357"/>
      <c r="CF53" s="1357"/>
      <c r="CG53" s="1357"/>
      <c r="CH53" s="1357"/>
      <c r="CI53" s="1357"/>
      <c r="CJ53" s="1357"/>
      <c r="CK53" s="1357"/>
      <c r="CL53" s="1357"/>
      <c r="CM53" s="1357"/>
      <c r="CN53" s="1357"/>
      <c r="CO53" s="1357"/>
      <c r="CP53" s="1357"/>
      <c r="CQ53" s="1357"/>
      <c r="CR53" s="1357"/>
      <c r="CS53" s="1357"/>
      <c r="CT53" s="1357"/>
      <c r="CU53" s="1357"/>
      <c r="CV53" s="1357"/>
      <c r="CW53" s="1357"/>
      <c r="CX53" s="1357"/>
      <c r="CY53" s="1357"/>
      <c r="CZ53" s="1357"/>
      <c r="DA53" s="1357"/>
      <c r="DB53" s="1357"/>
      <c r="DC53" s="1357"/>
      <c r="DD53" s="1357"/>
      <c r="DE53" s="1357"/>
      <c r="DF53" s="1357"/>
      <c r="DG53" s="1357"/>
      <c r="DH53" s="1357"/>
      <c r="DI53" s="1357"/>
      <c r="DJ53" s="1357"/>
      <c r="DK53" s="1357"/>
      <c r="DL53" s="1357"/>
      <c r="DM53" s="1357"/>
      <c r="DN53" s="1357"/>
      <c r="DO53" s="1357"/>
      <c r="DP53" s="1357"/>
      <c r="DQ53" s="1357"/>
      <c r="DR53" s="1357"/>
      <c r="DS53" s="1357"/>
      <c r="DT53" s="1357"/>
      <c r="DU53" s="1357"/>
      <c r="DV53" s="1357"/>
      <c r="DW53" s="1357"/>
      <c r="DX53" s="1357"/>
      <c r="DY53" s="1357"/>
      <c r="DZ53" s="1357"/>
      <c r="EA53" s="1357"/>
      <c r="EB53" s="1357"/>
      <c r="EC53" s="1357"/>
      <c r="ED53" s="1357"/>
      <c r="EE53" s="1357"/>
      <c r="EF53" s="1357"/>
      <c r="EG53" s="1357"/>
      <c r="EH53" s="1357"/>
      <c r="EI53" s="1357"/>
      <c r="EJ53" s="1357"/>
      <c r="EK53" s="1357"/>
      <c r="EL53" s="1357"/>
      <c r="EM53" s="1357"/>
      <c r="EN53" s="1357"/>
      <c r="EO53" s="1357"/>
      <c r="EP53" s="1357"/>
      <c r="EQ53" s="1357"/>
      <c r="ER53" s="1357"/>
      <c r="ES53" s="1357"/>
      <c r="ET53" s="1357"/>
      <c r="EU53" s="1357"/>
      <c r="EV53" s="1357"/>
      <c r="EW53" s="1357"/>
      <c r="EX53" s="1357"/>
      <c r="EY53" s="1357"/>
      <c r="EZ53" s="1357"/>
      <c r="FA53" s="1357"/>
      <c r="FB53" s="1357"/>
      <c r="FC53" s="1357"/>
      <c r="FD53" s="1357"/>
      <c r="FE53" s="1357"/>
      <c r="FF53" s="1357"/>
      <c r="FG53" s="1357"/>
      <c r="FH53" s="1357"/>
      <c r="FI53" s="1357"/>
      <c r="FJ53" s="1357"/>
      <c r="FK53" s="1357"/>
      <c r="FL53" s="1357"/>
      <c r="FM53" s="1357"/>
      <c r="FN53" s="1357"/>
      <c r="FO53" s="1357"/>
      <c r="FP53" s="1357"/>
      <c r="FQ53" s="1357"/>
      <c r="FR53" s="1357"/>
      <c r="FS53" s="1357"/>
      <c r="FT53" s="1357"/>
      <c r="FU53" s="1357"/>
      <c r="FV53" s="1357"/>
      <c r="FW53" s="1357"/>
      <c r="FX53" s="1357"/>
      <c r="FY53" s="1357"/>
      <c r="FZ53" s="1357"/>
      <c r="GA53" s="1357"/>
      <c r="GB53" s="1357"/>
      <c r="GC53" s="1357"/>
      <c r="GD53" s="1357"/>
      <c r="GE53" s="1357"/>
      <c r="GF53" s="1357"/>
      <c r="GG53" s="1357"/>
      <c r="GH53" s="1357"/>
      <c r="GI53" s="1357"/>
      <c r="GJ53" s="1357"/>
      <c r="GK53" s="1357"/>
      <c r="GL53" s="1357"/>
      <c r="GM53" s="1357"/>
      <c r="GN53" s="1357"/>
      <c r="GO53" s="1357"/>
      <c r="GP53" s="1357"/>
      <c r="GQ53" s="1357"/>
      <c r="GR53" s="1357"/>
      <c r="GS53" s="1357"/>
      <c r="GT53" s="1357"/>
      <c r="GU53" s="1357"/>
      <c r="GV53" s="1357"/>
      <c r="GW53" s="1357"/>
      <c r="GX53" s="1357"/>
      <c r="GY53" s="1357"/>
      <c r="GZ53" s="1357"/>
      <c r="HA53" s="1357"/>
      <c r="HB53" s="1357"/>
      <c r="HC53" s="1357"/>
      <c r="HD53" s="1357"/>
      <c r="HE53" s="1357"/>
      <c r="HF53" s="1357"/>
      <c r="HG53" s="1357"/>
      <c r="HH53" s="1357"/>
      <c r="HI53" s="1357"/>
      <c r="HJ53" s="1357"/>
      <c r="HK53" s="1357"/>
      <c r="HL53" s="1357"/>
      <c r="HM53" s="1357"/>
      <c r="HN53" s="1357"/>
      <c r="HO53" s="1357"/>
      <c r="HP53" s="1357"/>
      <c r="HQ53" s="1357"/>
      <c r="HR53" s="1357"/>
      <c r="HS53" s="1357"/>
      <c r="HT53" s="1357"/>
      <c r="HU53" s="1357"/>
      <c r="HV53" s="1357"/>
      <c r="HW53" s="1357"/>
      <c r="HX53" s="1357"/>
      <c r="HY53" s="1357"/>
      <c r="HZ53" s="1357"/>
      <c r="IA53" s="1357"/>
      <c r="IB53" s="1357"/>
      <c r="IC53" s="1357"/>
      <c r="ID53" s="1357"/>
      <c r="IE53" s="1357"/>
      <c r="IF53" s="1357"/>
      <c r="IG53" s="1357"/>
      <c r="IH53" s="1357"/>
      <c r="II53" s="1357"/>
      <c r="IJ53" s="1357"/>
      <c r="IK53" s="1357"/>
      <c r="IL53" s="1357"/>
      <c r="IM53" s="1357"/>
      <c r="IN53" s="1357"/>
      <c r="IO53" s="1357"/>
      <c r="IP53" s="1357"/>
      <c r="IQ53" s="1357"/>
      <c r="IR53" s="1357"/>
      <c r="IS53" s="1357"/>
      <c r="IT53" s="1357"/>
      <c r="IU53" s="1357"/>
      <c r="IV53" s="1357"/>
    </row>
    <row r="54" spans="1:256">
      <c r="A54" s="1361">
        <f t="shared" si="9"/>
        <v>34</v>
      </c>
      <c r="B54" s="1358" t="s">
        <v>516</v>
      </c>
      <c r="C54" s="829">
        <f t="shared" si="10"/>
        <v>0</v>
      </c>
      <c r="D54" s="829">
        <f t="shared" si="11"/>
        <v>0</v>
      </c>
      <c r="E54" s="1358">
        <v>31</v>
      </c>
      <c r="F54" s="711">
        <v>62</v>
      </c>
      <c r="G54" s="1369">
        <f t="shared" si="6"/>
        <v>0.16986301369863013</v>
      </c>
      <c r="H54" s="829">
        <f t="shared" si="7"/>
        <v>0</v>
      </c>
      <c r="I54" s="829">
        <f t="shared" si="8"/>
        <v>0</v>
      </c>
      <c r="J54" s="1357"/>
      <c r="K54" s="1357"/>
      <c r="L54" s="1357"/>
      <c r="M54" s="1357"/>
      <c r="N54" s="1357"/>
      <c r="O54" s="1357"/>
      <c r="P54" s="1357"/>
      <c r="Q54" s="1357"/>
      <c r="R54" s="1357"/>
      <c r="S54" s="1357"/>
      <c r="T54" s="1357"/>
      <c r="U54" s="1357"/>
      <c r="V54" s="1357"/>
      <c r="W54" s="1357"/>
      <c r="X54" s="1357"/>
      <c r="Y54" s="1357"/>
      <c r="Z54" s="1357"/>
      <c r="AA54" s="1357"/>
      <c r="AB54" s="1357"/>
      <c r="AC54" s="1357"/>
      <c r="AD54" s="1357"/>
      <c r="AE54" s="1357"/>
      <c r="AF54" s="1357"/>
      <c r="AG54" s="1357"/>
      <c r="AH54" s="1357"/>
      <c r="AI54" s="1357"/>
      <c r="AJ54" s="1357"/>
      <c r="AK54" s="1357"/>
      <c r="AL54" s="1357"/>
      <c r="AM54" s="1357"/>
      <c r="AN54" s="1357"/>
      <c r="AO54" s="1357"/>
      <c r="AP54" s="1357"/>
      <c r="AQ54" s="1357"/>
      <c r="AR54" s="1357"/>
      <c r="AS54" s="1357"/>
      <c r="AT54" s="1357"/>
      <c r="AU54" s="1357"/>
      <c r="AV54" s="1357"/>
      <c r="AW54" s="1357"/>
      <c r="AX54" s="1357"/>
      <c r="AY54" s="1357"/>
      <c r="AZ54" s="1357"/>
      <c r="BA54" s="1357"/>
      <c r="BB54" s="1357"/>
      <c r="BC54" s="1357"/>
      <c r="BD54" s="1357"/>
      <c r="BE54" s="1357"/>
      <c r="BF54" s="1357"/>
      <c r="BG54" s="1357"/>
      <c r="BH54" s="1357"/>
      <c r="BI54" s="1357"/>
      <c r="BJ54" s="1357"/>
      <c r="BK54" s="1357"/>
      <c r="BL54" s="1357"/>
      <c r="BM54" s="1357"/>
      <c r="BN54" s="1357"/>
      <c r="BO54" s="1357"/>
      <c r="BP54" s="1357"/>
      <c r="BQ54" s="1357"/>
      <c r="BR54" s="1357"/>
      <c r="BS54" s="1357"/>
      <c r="BT54" s="1357"/>
      <c r="BU54" s="1357"/>
      <c r="BV54" s="1357"/>
      <c r="BW54" s="1357"/>
      <c r="BX54" s="1357"/>
      <c r="BY54" s="1357"/>
      <c r="BZ54" s="1357"/>
      <c r="CA54" s="1357"/>
      <c r="CB54" s="1357"/>
      <c r="CC54" s="1357"/>
      <c r="CD54" s="1357"/>
      <c r="CE54" s="1357"/>
      <c r="CF54" s="1357"/>
      <c r="CG54" s="1357"/>
      <c r="CH54" s="1357"/>
      <c r="CI54" s="1357"/>
      <c r="CJ54" s="1357"/>
      <c r="CK54" s="1357"/>
      <c r="CL54" s="1357"/>
      <c r="CM54" s="1357"/>
      <c r="CN54" s="1357"/>
      <c r="CO54" s="1357"/>
      <c r="CP54" s="1357"/>
      <c r="CQ54" s="1357"/>
      <c r="CR54" s="1357"/>
      <c r="CS54" s="1357"/>
      <c r="CT54" s="1357"/>
      <c r="CU54" s="1357"/>
      <c r="CV54" s="1357"/>
      <c r="CW54" s="1357"/>
      <c r="CX54" s="1357"/>
      <c r="CY54" s="1357"/>
      <c r="CZ54" s="1357"/>
      <c r="DA54" s="1357"/>
      <c r="DB54" s="1357"/>
      <c r="DC54" s="1357"/>
      <c r="DD54" s="1357"/>
      <c r="DE54" s="1357"/>
      <c r="DF54" s="1357"/>
      <c r="DG54" s="1357"/>
      <c r="DH54" s="1357"/>
      <c r="DI54" s="1357"/>
      <c r="DJ54" s="1357"/>
      <c r="DK54" s="1357"/>
      <c r="DL54" s="1357"/>
      <c r="DM54" s="1357"/>
      <c r="DN54" s="1357"/>
      <c r="DO54" s="1357"/>
      <c r="DP54" s="1357"/>
      <c r="DQ54" s="1357"/>
      <c r="DR54" s="1357"/>
      <c r="DS54" s="1357"/>
      <c r="DT54" s="1357"/>
      <c r="DU54" s="1357"/>
      <c r="DV54" s="1357"/>
      <c r="DW54" s="1357"/>
      <c r="DX54" s="1357"/>
      <c r="DY54" s="1357"/>
      <c r="DZ54" s="1357"/>
      <c r="EA54" s="1357"/>
      <c r="EB54" s="1357"/>
      <c r="EC54" s="1357"/>
      <c r="ED54" s="1357"/>
      <c r="EE54" s="1357"/>
      <c r="EF54" s="1357"/>
      <c r="EG54" s="1357"/>
      <c r="EH54" s="1357"/>
      <c r="EI54" s="1357"/>
      <c r="EJ54" s="1357"/>
      <c r="EK54" s="1357"/>
      <c r="EL54" s="1357"/>
      <c r="EM54" s="1357"/>
      <c r="EN54" s="1357"/>
      <c r="EO54" s="1357"/>
      <c r="EP54" s="1357"/>
      <c r="EQ54" s="1357"/>
      <c r="ER54" s="1357"/>
      <c r="ES54" s="1357"/>
      <c r="ET54" s="1357"/>
      <c r="EU54" s="1357"/>
      <c r="EV54" s="1357"/>
      <c r="EW54" s="1357"/>
      <c r="EX54" s="1357"/>
      <c r="EY54" s="1357"/>
      <c r="EZ54" s="1357"/>
      <c r="FA54" s="1357"/>
      <c r="FB54" s="1357"/>
      <c r="FC54" s="1357"/>
      <c r="FD54" s="1357"/>
      <c r="FE54" s="1357"/>
      <c r="FF54" s="1357"/>
      <c r="FG54" s="1357"/>
      <c r="FH54" s="1357"/>
      <c r="FI54" s="1357"/>
      <c r="FJ54" s="1357"/>
      <c r="FK54" s="1357"/>
      <c r="FL54" s="1357"/>
      <c r="FM54" s="1357"/>
      <c r="FN54" s="1357"/>
      <c r="FO54" s="1357"/>
      <c r="FP54" s="1357"/>
      <c r="FQ54" s="1357"/>
      <c r="FR54" s="1357"/>
      <c r="FS54" s="1357"/>
      <c r="FT54" s="1357"/>
      <c r="FU54" s="1357"/>
      <c r="FV54" s="1357"/>
      <c r="FW54" s="1357"/>
      <c r="FX54" s="1357"/>
      <c r="FY54" s="1357"/>
      <c r="FZ54" s="1357"/>
      <c r="GA54" s="1357"/>
      <c r="GB54" s="1357"/>
      <c r="GC54" s="1357"/>
      <c r="GD54" s="1357"/>
      <c r="GE54" s="1357"/>
      <c r="GF54" s="1357"/>
      <c r="GG54" s="1357"/>
      <c r="GH54" s="1357"/>
      <c r="GI54" s="1357"/>
      <c r="GJ54" s="1357"/>
      <c r="GK54" s="1357"/>
      <c r="GL54" s="1357"/>
      <c r="GM54" s="1357"/>
      <c r="GN54" s="1357"/>
      <c r="GO54" s="1357"/>
      <c r="GP54" s="1357"/>
      <c r="GQ54" s="1357"/>
      <c r="GR54" s="1357"/>
      <c r="GS54" s="1357"/>
      <c r="GT54" s="1357"/>
      <c r="GU54" s="1357"/>
      <c r="GV54" s="1357"/>
      <c r="GW54" s="1357"/>
      <c r="GX54" s="1357"/>
      <c r="GY54" s="1357"/>
      <c r="GZ54" s="1357"/>
      <c r="HA54" s="1357"/>
      <c r="HB54" s="1357"/>
      <c r="HC54" s="1357"/>
      <c r="HD54" s="1357"/>
      <c r="HE54" s="1357"/>
      <c r="HF54" s="1357"/>
      <c r="HG54" s="1357"/>
      <c r="HH54" s="1357"/>
      <c r="HI54" s="1357"/>
      <c r="HJ54" s="1357"/>
      <c r="HK54" s="1357"/>
      <c r="HL54" s="1357"/>
      <c r="HM54" s="1357"/>
      <c r="HN54" s="1357"/>
      <c r="HO54" s="1357"/>
      <c r="HP54" s="1357"/>
      <c r="HQ54" s="1357"/>
      <c r="HR54" s="1357"/>
      <c r="HS54" s="1357"/>
      <c r="HT54" s="1357"/>
      <c r="HU54" s="1357"/>
      <c r="HV54" s="1357"/>
      <c r="HW54" s="1357"/>
      <c r="HX54" s="1357"/>
      <c r="HY54" s="1357"/>
      <c r="HZ54" s="1357"/>
      <c r="IA54" s="1357"/>
      <c r="IB54" s="1357"/>
      <c r="IC54" s="1357"/>
      <c r="ID54" s="1357"/>
      <c r="IE54" s="1357"/>
      <c r="IF54" s="1357"/>
      <c r="IG54" s="1357"/>
      <c r="IH54" s="1357"/>
      <c r="II54" s="1357"/>
      <c r="IJ54" s="1357"/>
      <c r="IK54" s="1357"/>
      <c r="IL54" s="1357"/>
      <c r="IM54" s="1357"/>
      <c r="IN54" s="1357"/>
      <c r="IO54" s="1357"/>
      <c r="IP54" s="1357"/>
      <c r="IQ54" s="1357"/>
      <c r="IR54" s="1357"/>
      <c r="IS54" s="1357"/>
      <c r="IT54" s="1357"/>
      <c r="IU54" s="1357"/>
      <c r="IV54" s="1357"/>
    </row>
    <row r="55" spans="1:256">
      <c r="A55" s="1361">
        <f t="shared" si="9"/>
        <v>35</v>
      </c>
      <c r="B55" s="1358" t="s">
        <v>517</v>
      </c>
      <c r="C55" s="829">
        <f t="shared" si="10"/>
        <v>0</v>
      </c>
      <c r="D55" s="829">
        <f t="shared" si="11"/>
        <v>0</v>
      </c>
      <c r="E55" s="1358">
        <v>30</v>
      </c>
      <c r="F55" s="711">
        <v>32</v>
      </c>
      <c r="G55" s="1369">
        <f t="shared" si="6"/>
        <v>8.7671232876712329E-2</v>
      </c>
      <c r="H55" s="829">
        <f t="shared" si="7"/>
        <v>0</v>
      </c>
      <c r="I55" s="829">
        <f t="shared" si="8"/>
        <v>0</v>
      </c>
      <c r="J55" s="1357"/>
      <c r="K55" s="1357"/>
      <c r="L55" s="1357"/>
      <c r="M55" s="1357"/>
      <c r="N55" s="1357"/>
      <c r="O55" s="1357"/>
      <c r="P55" s="1357"/>
      <c r="Q55" s="1357"/>
      <c r="R55" s="1357"/>
      <c r="S55" s="1357"/>
      <c r="T55" s="1357"/>
      <c r="U55" s="1357"/>
      <c r="V55" s="1357"/>
      <c r="W55" s="1357"/>
      <c r="X55" s="1357"/>
      <c r="Y55" s="1357"/>
      <c r="Z55" s="1357"/>
      <c r="AA55" s="1357"/>
      <c r="AB55" s="1357"/>
      <c r="AC55" s="1357"/>
      <c r="AD55" s="1357"/>
      <c r="AE55" s="1357"/>
      <c r="AF55" s="1357"/>
      <c r="AG55" s="1357"/>
      <c r="AH55" s="1357"/>
      <c r="AI55" s="1357"/>
      <c r="AJ55" s="1357"/>
      <c r="AK55" s="1357"/>
      <c r="AL55" s="1357"/>
      <c r="AM55" s="1357"/>
      <c r="AN55" s="1357"/>
      <c r="AO55" s="1357"/>
      <c r="AP55" s="1357"/>
      <c r="AQ55" s="1357"/>
      <c r="AR55" s="1357"/>
      <c r="AS55" s="1357"/>
      <c r="AT55" s="1357"/>
      <c r="AU55" s="1357"/>
      <c r="AV55" s="1357"/>
      <c r="AW55" s="1357"/>
      <c r="AX55" s="1357"/>
      <c r="AY55" s="1357"/>
      <c r="AZ55" s="1357"/>
      <c r="BA55" s="1357"/>
      <c r="BB55" s="1357"/>
      <c r="BC55" s="1357"/>
      <c r="BD55" s="1357"/>
      <c r="BE55" s="1357"/>
      <c r="BF55" s="1357"/>
      <c r="BG55" s="1357"/>
      <c r="BH55" s="1357"/>
      <c r="BI55" s="1357"/>
      <c r="BJ55" s="1357"/>
      <c r="BK55" s="1357"/>
      <c r="BL55" s="1357"/>
      <c r="BM55" s="1357"/>
      <c r="BN55" s="1357"/>
      <c r="BO55" s="1357"/>
      <c r="BP55" s="1357"/>
      <c r="BQ55" s="1357"/>
      <c r="BR55" s="1357"/>
      <c r="BS55" s="1357"/>
      <c r="BT55" s="1357"/>
      <c r="BU55" s="1357"/>
      <c r="BV55" s="1357"/>
      <c r="BW55" s="1357"/>
      <c r="BX55" s="1357"/>
      <c r="BY55" s="1357"/>
      <c r="BZ55" s="1357"/>
      <c r="CA55" s="1357"/>
      <c r="CB55" s="1357"/>
      <c r="CC55" s="1357"/>
      <c r="CD55" s="1357"/>
      <c r="CE55" s="1357"/>
      <c r="CF55" s="1357"/>
      <c r="CG55" s="1357"/>
      <c r="CH55" s="1357"/>
      <c r="CI55" s="1357"/>
      <c r="CJ55" s="1357"/>
      <c r="CK55" s="1357"/>
      <c r="CL55" s="1357"/>
      <c r="CM55" s="1357"/>
      <c r="CN55" s="1357"/>
      <c r="CO55" s="1357"/>
      <c r="CP55" s="1357"/>
      <c r="CQ55" s="1357"/>
      <c r="CR55" s="1357"/>
      <c r="CS55" s="1357"/>
      <c r="CT55" s="1357"/>
      <c r="CU55" s="1357"/>
      <c r="CV55" s="1357"/>
      <c r="CW55" s="1357"/>
      <c r="CX55" s="1357"/>
      <c r="CY55" s="1357"/>
      <c r="CZ55" s="1357"/>
      <c r="DA55" s="1357"/>
      <c r="DB55" s="1357"/>
      <c r="DC55" s="1357"/>
      <c r="DD55" s="1357"/>
      <c r="DE55" s="1357"/>
      <c r="DF55" s="1357"/>
      <c r="DG55" s="1357"/>
      <c r="DH55" s="1357"/>
      <c r="DI55" s="1357"/>
      <c r="DJ55" s="1357"/>
      <c r="DK55" s="1357"/>
      <c r="DL55" s="1357"/>
      <c r="DM55" s="1357"/>
      <c r="DN55" s="1357"/>
      <c r="DO55" s="1357"/>
      <c r="DP55" s="1357"/>
      <c r="DQ55" s="1357"/>
      <c r="DR55" s="1357"/>
      <c r="DS55" s="1357"/>
      <c r="DT55" s="1357"/>
      <c r="DU55" s="1357"/>
      <c r="DV55" s="1357"/>
      <c r="DW55" s="1357"/>
      <c r="DX55" s="1357"/>
      <c r="DY55" s="1357"/>
      <c r="DZ55" s="1357"/>
      <c r="EA55" s="1357"/>
      <c r="EB55" s="1357"/>
      <c r="EC55" s="1357"/>
      <c r="ED55" s="1357"/>
      <c r="EE55" s="1357"/>
      <c r="EF55" s="1357"/>
      <c r="EG55" s="1357"/>
      <c r="EH55" s="1357"/>
      <c r="EI55" s="1357"/>
      <c r="EJ55" s="1357"/>
      <c r="EK55" s="1357"/>
      <c r="EL55" s="1357"/>
      <c r="EM55" s="1357"/>
      <c r="EN55" s="1357"/>
      <c r="EO55" s="1357"/>
      <c r="EP55" s="1357"/>
      <c r="EQ55" s="1357"/>
      <c r="ER55" s="1357"/>
      <c r="ES55" s="1357"/>
      <c r="ET55" s="1357"/>
      <c r="EU55" s="1357"/>
      <c r="EV55" s="1357"/>
      <c r="EW55" s="1357"/>
      <c r="EX55" s="1357"/>
      <c r="EY55" s="1357"/>
      <c r="EZ55" s="1357"/>
      <c r="FA55" s="1357"/>
      <c r="FB55" s="1357"/>
      <c r="FC55" s="1357"/>
      <c r="FD55" s="1357"/>
      <c r="FE55" s="1357"/>
      <c r="FF55" s="1357"/>
      <c r="FG55" s="1357"/>
      <c r="FH55" s="1357"/>
      <c r="FI55" s="1357"/>
      <c r="FJ55" s="1357"/>
      <c r="FK55" s="1357"/>
      <c r="FL55" s="1357"/>
      <c r="FM55" s="1357"/>
      <c r="FN55" s="1357"/>
      <c r="FO55" s="1357"/>
      <c r="FP55" s="1357"/>
      <c r="FQ55" s="1357"/>
      <c r="FR55" s="1357"/>
      <c r="FS55" s="1357"/>
      <c r="FT55" s="1357"/>
      <c r="FU55" s="1357"/>
      <c r="FV55" s="1357"/>
      <c r="FW55" s="1357"/>
      <c r="FX55" s="1357"/>
      <c r="FY55" s="1357"/>
      <c r="FZ55" s="1357"/>
      <c r="GA55" s="1357"/>
      <c r="GB55" s="1357"/>
      <c r="GC55" s="1357"/>
      <c r="GD55" s="1357"/>
      <c r="GE55" s="1357"/>
      <c r="GF55" s="1357"/>
      <c r="GG55" s="1357"/>
      <c r="GH55" s="1357"/>
      <c r="GI55" s="1357"/>
      <c r="GJ55" s="1357"/>
      <c r="GK55" s="1357"/>
      <c r="GL55" s="1357"/>
      <c r="GM55" s="1357"/>
      <c r="GN55" s="1357"/>
      <c r="GO55" s="1357"/>
      <c r="GP55" s="1357"/>
      <c r="GQ55" s="1357"/>
      <c r="GR55" s="1357"/>
      <c r="GS55" s="1357"/>
      <c r="GT55" s="1357"/>
      <c r="GU55" s="1357"/>
      <c r="GV55" s="1357"/>
      <c r="GW55" s="1357"/>
      <c r="GX55" s="1357"/>
      <c r="GY55" s="1357"/>
      <c r="GZ55" s="1357"/>
      <c r="HA55" s="1357"/>
      <c r="HB55" s="1357"/>
      <c r="HC55" s="1357"/>
      <c r="HD55" s="1357"/>
      <c r="HE55" s="1357"/>
      <c r="HF55" s="1357"/>
      <c r="HG55" s="1357"/>
      <c r="HH55" s="1357"/>
      <c r="HI55" s="1357"/>
      <c r="HJ55" s="1357"/>
      <c r="HK55" s="1357"/>
      <c r="HL55" s="1357"/>
      <c r="HM55" s="1357"/>
      <c r="HN55" s="1357"/>
      <c r="HO55" s="1357"/>
      <c r="HP55" s="1357"/>
      <c r="HQ55" s="1357"/>
      <c r="HR55" s="1357"/>
      <c r="HS55" s="1357"/>
      <c r="HT55" s="1357"/>
      <c r="HU55" s="1357"/>
      <c r="HV55" s="1357"/>
      <c r="HW55" s="1357"/>
      <c r="HX55" s="1357"/>
      <c r="HY55" s="1357"/>
      <c r="HZ55" s="1357"/>
      <c r="IA55" s="1357"/>
      <c r="IB55" s="1357"/>
      <c r="IC55" s="1357"/>
      <c r="ID55" s="1357"/>
      <c r="IE55" s="1357"/>
      <c r="IF55" s="1357"/>
      <c r="IG55" s="1357"/>
      <c r="IH55" s="1357"/>
      <c r="II55" s="1357"/>
      <c r="IJ55" s="1357"/>
      <c r="IK55" s="1357"/>
      <c r="IL55" s="1357"/>
      <c r="IM55" s="1357"/>
      <c r="IN55" s="1357"/>
      <c r="IO55" s="1357"/>
      <c r="IP55" s="1357"/>
      <c r="IQ55" s="1357"/>
      <c r="IR55" s="1357"/>
      <c r="IS55" s="1357"/>
      <c r="IT55" s="1357"/>
      <c r="IU55" s="1357"/>
      <c r="IV55" s="1357"/>
    </row>
    <row r="56" spans="1:256">
      <c r="A56" s="1361">
        <f t="shared" si="9"/>
        <v>36</v>
      </c>
      <c r="B56" s="1358" t="s">
        <v>328</v>
      </c>
      <c r="C56" s="829">
        <f t="shared" si="10"/>
        <v>0</v>
      </c>
      <c r="D56" s="829">
        <f t="shared" si="11"/>
        <v>0</v>
      </c>
      <c r="E56" s="1358">
        <v>31</v>
      </c>
      <c r="F56" s="711">
        <f>F55-E56</f>
        <v>1</v>
      </c>
      <c r="G56" s="1369">
        <f t="shared" si="6"/>
        <v>2.7397260273972603E-3</v>
      </c>
      <c r="H56" s="829">
        <f t="shared" si="7"/>
        <v>0</v>
      </c>
      <c r="I56" s="829">
        <f t="shared" si="8"/>
        <v>0</v>
      </c>
      <c r="J56" s="1357"/>
      <c r="K56" s="1357"/>
      <c r="L56" s="1357"/>
      <c r="M56" s="1357"/>
      <c r="N56" s="1357"/>
      <c r="O56" s="1357"/>
      <c r="P56" s="1357"/>
      <c r="Q56" s="1357"/>
      <c r="R56" s="1357"/>
      <c r="S56" s="1357"/>
      <c r="T56" s="1357"/>
      <c r="U56" s="1357"/>
      <c r="V56" s="1357"/>
      <c r="W56" s="1357"/>
      <c r="X56" s="1357"/>
      <c r="Y56" s="1357"/>
      <c r="Z56" s="1357"/>
      <c r="AA56" s="1357"/>
      <c r="AB56" s="1357"/>
      <c r="AC56" s="1357"/>
      <c r="AD56" s="1357"/>
      <c r="AE56" s="1357"/>
      <c r="AF56" s="1357"/>
      <c r="AG56" s="1357"/>
      <c r="AH56" s="1357"/>
      <c r="AI56" s="1357"/>
      <c r="AJ56" s="1357"/>
      <c r="AK56" s="1357"/>
      <c r="AL56" s="1357"/>
      <c r="AM56" s="1357"/>
      <c r="AN56" s="1357"/>
      <c r="AO56" s="1357"/>
      <c r="AP56" s="1357"/>
      <c r="AQ56" s="1357"/>
      <c r="AR56" s="1357"/>
      <c r="AS56" s="1357"/>
      <c r="AT56" s="1357"/>
      <c r="AU56" s="1357"/>
      <c r="AV56" s="1357"/>
      <c r="AW56" s="1357"/>
      <c r="AX56" s="1357"/>
      <c r="AY56" s="1357"/>
      <c r="AZ56" s="1357"/>
      <c r="BA56" s="1357"/>
      <c r="BB56" s="1357"/>
      <c r="BC56" s="1357"/>
      <c r="BD56" s="1357"/>
      <c r="BE56" s="1357"/>
      <c r="BF56" s="1357"/>
      <c r="BG56" s="1357"/>
      <c r="BH56" s="1357"/>
      <c r="BI56" s="1357"/>
      <c r="BJ56" s="1357"/>
      <c r="BK56" s="1357"/>
      <c r="BL56" s="1357"/>
      <c r="BM56" s="1357"/>
      <c r="BN56" s="1357"/>
      <c r="BO56" s="1357"/>
      <c r="BP56" s="1357"/>
      <c r="BQ56" s="1357"/>
      <c r="BR56" s="1357"/>
      <c r="BS56" s="1357"/>
      <c r="BT56" s="1357"/>
      <c r="BU56" s="1357"/>
      <c r="BV56" s="1357"/>
      <c r="BW56" s="1357"/>
      <c r="BX56" s="1357"/>
      <c r="BY56" s="1357"/>
      <c r="BZ56" s="1357"/>
      <c r="CA56" s="1357"/>
      <c r="CB56" s="1357"/>
      <c r="CC56" s="1357"/>
      <c r="CD56" s="1357"/>
      <c r="CE56" s="1357"/>
      <c r="CF56" s="1357"/>
      <c r="CG56" s="1357"/>
      <c r="CH56" s="1357"/>
      <c r="CI56" s="1357"/>
      <c r="CJ56" s="1357"/>
      <c r="CK56" s="1357"/>
      <c r="CL56" s="1357"/>
      <c r="CM56" s="1357"/>
      <c r="CN56" s="1357"/>
      <c r="CO56" s="1357"/>
      <c r="CP56" s="1357"/>
      <c r="CQ56" s="1357"/>
      <c r="CR56" s="1357"/>
      <c r="CS56" s="1357"/>
      <c r="CT56" s="1357"/>
      <c r="CU56" s="1357"/>
      <c r="CV56" s="1357"/>
      <c r="CW56" s="1357"/>
      <c r="CX56" s="1357"/>
      <c r="CY56" s="1357"/>
      <c r="CZ56" s="1357"/>
      <c r="DA56" s="1357"/>
      <c r="DB56" s="1357"/>
      <c r="DC56" s="1357"/>
      <c r="DD56" s="1357"/>
      <c r="DE56" s="1357"/>
      <c r="DF56" s="1357"/>
      <c r="DG56" s="1357"/>
      <c r="DH56" s="1357"/>
      <c r="DI56" s="1357"/>
      <c r="DJ56" s="1357"/>
      <c r="DK56" s="1357"/>
      <c r="DL56" s="1357"/>
      <c r="DM56" s="1357"/>
      <c r="DN56" s="1357"/>
      <c r="DO56" s="1357"/>
      <c r="DP56" s="1357"/>
      <c r="DQ56" s="1357"/>
      <c r="DR56" s="1357"/>
      <c r="DS56" s="1357"/>
      <c r="DT56" s="1357"/>
      <c r="DU56" s="1357"/>
      <c r="DV56" s="1357"/>
      <c r="DW56" s="1357"/>
      <c r="DX56" s="1357"/>
      <c r="DY56" s="1357"/>
      <c r="DZ56" s="1357"/>
      <c r="EA56" s="1357"/>
      <c r="EB56" s="1357"/>
      <c r="EC56" s="1357"/>
      <c r="ED56" s="1357"/>
      <c r="EE56" s="1357"/>
      <c r="EF56" s="1357"/>
      <c r="EG56" s="1357"/>
      <c r="EH56" s="1357"/>
      <c r="EI56" s="1357"/>
      <c r="EJ56" s="1357"/>
      <c r="EK56" s="1357"/>
      <c r="EL56" s="1357"/>
      <c r="EM56" s="1357"/>
      <c r="EN56" s="1357"/>
      <c r="EO56" s="1357"/>
      <c r="EP56" s="1357"/>
      <c r="EQ56" s="1357"/>
      <c r="ER56" s="1357"/>
      <c r="ES56" s="1357"/>
      <c r="ET56" s="1357"/>
      <c r="EU56" s="1357"/>
      <c r="EV56" s="1357"/>
      <c r="EW56" s="1357"/>
      <c r="EX56" s="1357"/>
      <c r="EY56" s="1357"/>
      <c r="EZ56" s="1357"/>
      <c r="FA56" s="1357"/>
      <c r="FB56" s="1357"/>
      <c r="FC56" s="1357"/>
      <c r="FD56" s="1357"/>
      <c r="FE56" s="1357"/>
      <c r="FF56" s="1357"/>
      <c r="FG56" s="1357"/>
      <c r="FH56" s="1357"/>
      <c r="FI56" s="1357"/>
      <c r="FJ56" s="1357"/>
      <c r="FK56" s="1357"/>
      <c r="FL56" s="1357"/>
      <c r="FM56" s="1357"/>
      <c r="FN56" s="1357"/>
      <c r="FO56" s="1357"/>
      <c r="FP56" s="1357"/>
      <c r="FQ56" s="1357"/>
      <c r="FR56" s="1357"/>
      <c r="FS56" s="1357"/>
      <c r="FT56" s="1357"/>
      <c r="FU56" s="1357"/>
      <c r="FV56" s="1357"/>
      <c r="FW56" s="1357"/>
      <c r="FX56" s="1357"/>
      <c r="FY56" s="1357"/>
      <c r="FZ56" s="1357"/>
      <c r="GA56" s="1357"/>
      <c r="GB56" s="1357"/>
      <c r="GC56" s="1357"/>
      <c r="GD56" s="1357"/>
      <c r="GE56" s="1357"/>
      <c r="GF56" s="1357"/>
      <c r="GG56" s="1357"/>
      <c r="GH56" s="1357"/>
      <c r="GI56" s="1357"/>
      <c r="GJ56" s="1357"/>
      <c r="GK56" s="1357"/>
      <c r="GL56" s="1357"/>
      <c r="GM56" s="1357"/>
      <c r="GN56" s="1357"/>
      <c r="GO56" s="1357"/>
      <c r="GP56" s="1357"/>
      <c r="GQ56" s="1357"/>
      <c r="GR56" s="1357"/>
      <c r="GS56" s="1357"/>
      <c r="GT56" s="1357"/>
      <c r="GU56" s="1357"/>
      <c r="GV56" s="1357"/>
      <c r="GW56" s="1357"/>
      <c r="GX56" s="1357"/>
      <c r="GY56" s="1357"/>
      <c r="GZ56" s="1357"/>
      <c r="HA56" s="1357"/>
      <c r="HB56" s="1357"/>
      <c r="HC56" s="1357"/>
      <c r="HD56" s="1357"/>
      <c r="HE56" s="1357"/>
      <c r="HF56" s="1357"/>
      <c r="HG56" s="1357"/>
      <c r="HH56" s="1357"/>
      <c r="HI56" s="1357"/>
      <c r="HJ56" s="1357"/>
      <c r="HK56" s="1357"/>
      <c r="HL56" s="1357"/>
      <c r="HM56" s="1357"/>
      <c r="HN56" s="1357"/>
      <c r="HO56" s="1357"/>
      <c r="HP56" s="1357"/>
      <c r="HQ56" s="1357"/>
      <c r="HR56" s="1357"/>
      <c r="HS56" s="1357"/>
      <c r="HT56" s="1357"/>
      <c r="HU56" s="1357"/>
      <c r="HV56" s="1357"/>
      <c r="HW56" s="1357"/>
      <c r="HX56" s="1357"/>
      <c r="HY56" s="1357"/>
      <c r="HZ56" s="1357"/>
      <c r="IA56" s="1357"/>
      <c r="IB56" s="1357"/>
      <c r="IC56" s="1357"/>
      <c r="ID56" s="1357"/>
      <c r="IE56" s="1357"/>
      <c r="IF56" s="1357"/>
      <c r="IG56" s="1357"/>
      <c r="IH56" s="1357"/>
      <c r="II56" s="1357"/>
      <c r="IJ56" s="1357"/>
      <c r="IK56" s="1357"/>
      <c r="IL56" s="1357"/>
      <c r="IM56" s="1357"/>
      <c r="IN56" s="1357"/>
      <c r="IO56" s="1357"/>
      <c r="IP56" s="1357"/>
      <c r="IQ56" s="1357"/>
      <c r="IR56" s="1357"/>
      <c r="IS56" s="1357"/>
      <c r="IT56" s="1357"/>
      <c r="IU56" s="1357"/>
      <c r="IV56" s="1357"/>
    </row>
    <row r="57" spans="1:256">
      <c r="A57" s="1361"/>
      <c r="B57" s="1358"/>
      <c r="C57" s="1370"/>
      <c r="D57" s="1370"/>
      <c r="E57" s="1358"/>
      <c r="F57" s="1358"/>
      <c r="G57" s="1358"/>
      <c r="H57" s="1370"/>
      <c r="I57" s="1370"/>
      <c r="J57" s="1357"/>
      <c r="K57" s="1357"/>
      <c r="L57" s="1357"/>
      <c r="M57" s="1357"/>
      <c r="N57" s="1357"/>
      <c r="O57" s="1357"/>
      <c r="P57" s="1357"/>
      <c r="Q57" s="1357"/>
      <c r="R57" s="1357"/>
      <c r="S57" s="1357"/>
      <c r="T57" s="1357"/>
      <c r="U57" s="1357"/>
      <c r="V57" s="1357"/>
      <c r="W57" s="1357"/>
      <c r="X57" s="1357"/>
      <c r="Y57" s="1357"/>
      <c r="Z57" s="1357"/>
      <c r="AA57" s="1357"/>
      <c r="AB57" s="1357"/>
      <c r="AC57" s="1357"/>
      <c r="AD57" s="1357"/>
      <c r="AE57" s="1357"/>
      <c r="AF57" s="1357"/>
      <c r="AG57" s="1357"/>
      <c r="AH57" s="1357"/>
      <c r="AI57" s="1357"/>
      <c r="AJ57" s="1357"/>
      <c r="AK57" s="1357"/>
      <c r="AL57" s="1357"/>
      <c r="AM57" s="1357"/>
      <c r="AN57" s="1357"/>
      <c r="AO57" s="1357"/>
      <c r="AP57" s="1357"/>
      <c r="AQ57" s="1357"/>
      <c r="AR57" s="1357"/>
      <c r="AS57" s="1357"/>
      <c r="AT57" s="1357"/>
      <c r="AU57" s="1357"/>
      <c r="AV57" s="1357"/>
      <c r="AW57" s="1357"/>
      <c r="AX57" s="1357"/>
      <c r="AY57" s="1357"/>
      <c r="AZ57" s="1357"/>
      <c r="BA57" s="1357"/>
      <c r="BB57" s="1357"/>
      <c r="BC57" s="1357"/>
      <c r="BD57" s="1357"/>
      <c r="BE57" s="1357"/>
      <c r="BF57" s="1357"/>
      <c r="BG57" s="1357"/>
      <c r="BH57" s="1357"/>
      <c r="BI57" s="1357"/>
      <c r="BJ57" s="1357"/>
      <c r="BK57" s="1357"/>
      <c r="BL57" s="1357"/>
      <c r="BM57" s="1357"/>
      <c r="BN57" s="1357"/>
      <c r="BO57" s="1357"/>
      <c r="BP57" s="1357"/>
      <c r="BQ57" s="1357"/>
      <c r="BR57" s="1357"/>
      <c r="BS57" s="1357"/>
      <c r="BT57" s="1357"/>
      <c r="BU57" s="1357"/>
      <c r="BV57" s="1357"/>
      <c r="BW57" s="1357"/>
      <c r="BX57" s="1357"/>
      <c r="BY57" s="1357"/>
      <c r="BZ57" s="1357"/>
      <c r="CA57" s="1357"/>
      <c r="CB57" s="1357"/>
      <c r="CC57" s="1357"/>
      <c r="CD57" s="1357"/>
      <c r="CE57" s="1357"/>
      <c r="CF57" s="1357"/>
      <c r="CG57" s="1357"/>
      <c r="CH57" s="1357"/>
      <c r="CI57" s="1357"/>
      <c r="CJ57" s="1357"/>
      <c r="CK57" s="1357"/>
      <c r="CL57" s="1357"/>
      <c r="CM57" s="1357"/>
      <c r="CN57" s="1357"/>
      <c r="CO57" s="1357"/>
      <c r="CP57" s="1357"/>
      <c r="CQ57" s="1357"/>
      <c r="CR57" s="1357"/>
      <c r="CS57" s="1357"/>
      <c r="CT57" s="1357"/>
      <c r="CU57" s="1357"/>
      <c r="CV57" s="1357"/>
      <c r="CW57" s="1357"/>
      <c r="CX57" s="1357"/>
      <c r="CY57" s="1357"/>
      <c r="CZ57" s="1357"/>
      <c r="DA57" s="1357"/>
      <c r="DB57" s="1357"/>
      <c r="DC57" s="1357"/>
      <c r="DD57" s="1357"/>
      <c r="DE57" s="1357"/>
      <c r="DF57" s="1357"/>
      <c r="DG57" s="1357"/>
      <c r="DH57" s="1357"/>
      <c r="DI57" s="1357"/>
      <c r="DJ57" s="1357"/>
      <c r="DK57" s="1357"/>
      <c r="DL57" s="1357"/>
      <c r="DM57" s="1357"/>
      <c r="DN57" s="1357"/>
      <c r="DO57" s="1357"/>
      <c r="DP57" s="1357"/>
      <c r="DQ57" s="1357"/>
      <c r="DR57" s="1357"/>
      <c r="DS57" s="1357"/>
      <c r="DT57" s="1357"/>
      <c r="DU57" s="1357"/>
      <c r="DV57" s="1357"/>
      <c r="DW57" s="1357"/>
      <c r="DX57" s="1357"/>
      <c r="DY57" s="1357"/>
      <c r="DZ57" s="1357"/>
      <c r="EA57" s="1357"/>
      <c r="EB57" s="1357"/>
      <c r="EC57" s="1357"/>
      <c r="ED57" s="1357"/>
      <c r="EE57" s="1357"/>
      <c r="EF57" s="1357"/>
      <c r="EG57" s="1357"/>
      <c r="EH57" s="1357"/>
      <c r="EI57" s="1357"/>
      <c r="EJ57" s="1357"/>
      <c r="EK57" s="1357"/>
      <c r="EL57" s="1357"/>
      <c r="EM57" s="1357"/>
      <c r="EN57" s="1357"/>
      <c r="EO57" s="1357"/>
      <c r="EP57" s="1357"/>
      <c r="EQ57" s="1357"/>
      <c r="ER57" s="1357"/>
      <c r="ES57" s="1357"/>
      <c r="ET57" s="1357"/>
      <c r="EU57" s="1357"/>
      <c r="EV57" s="1357"/>
      <c r="EW57" s="1357"/>
      <c r="EX57" s="1357"/>
      <c r="EY57" s="1357"/>
      <c r="EZ57" s="1357"/>
      <c r="FA57" s="1357"/>
      <c r="FB57" s="1357"/>
      <c r="FC57" s="1357"/>
      <c r="FD57" s="1357"/>
      <c r="FE57" s="1357"/>
      <c r="FF57" s="1357"/>
      <c r="FG57" s="1357"/>
      <c r="FH57" s="1357"/>
      <c r="FI57" s="1357"/>
      <c r="FJ57" s="1357"/>
      <c r="FK57" s="1357"/>
      <c r="FL57" s="1357"/>
      <c r="FM57" s="1357"/>
      <c r="FN57" s="1357"/>
      <c r="FO57" s="1357"/>
      <c r="FP57" s="1357"/>
      <c r="FQ57" s="1357"/>
      <c r="FR57" s="1357"/>
      <c r="FS57" s="1357"/>
      <c r="FT57" s="1357"/>
      <c r="FU57" s="1357"/>
      <c r="FV57" s="1357"/>
      <c r="FW57" s="1357"/>
      <c r="FX57" s="1357"/>
      <c r="FY57" s="1357"/>
      <c r="FZ57" s="1357"/>
      <c r="GA57" s="1357"/>
      <c r="GB57" s="1357"/>
      <c r="GC57" s="1357"/>
      <c r="GD57" s="1357"/>
      <c r="GE57" s="1357"/>
      <c r="GF57" s="1357"/>
      <c r="GG57" s="1357"/>
      <c r="GH57" s="1357"/>
      <c r="GI57" s="1357"/>
      <c r="GJ57" s="1357"/>
      <c r="GK57" s="1357"/>
      <c r="GL57" s="1357"/>
      <c r="GM57" s="1357"/>
      <c r="GN57" s="1357"/>
      <c r="GO57" s="1357"/>
      <c r="GP57" s="1357"/>
      <c r="GQ57" s="1357"/>
      <c r="GR57" s="1357"/>
      <c r="GS57" s="1357"/>
      <c r="GT57" s="1357"/>
      <c r="GU57" s="1357"/>
      <c r="GV57" s="1357"/>
      <c r="GW57" s="1357"/>
      <c r="GX57" s="1357"/>
      <c r="GY57" s="1357"/>
      <c r="GZ57" s="1357"/>
      <c r="HA57" s="1357"/>
      <c r="HB57" s="1357"/>
      <c r="HC57" s="1357"/>
      <c r="HD57" s="1357"/>
      <c r="HE57" s="1357"/>
      <c r="HF57" s="1357"/>
      <c r="HG57" s="1357"/>
      <c r="HH57" s="1357"/>
      <c r="HI57" s="1357"/>
      <c r="HJ57" s="1357"/>
      <c r="HK57" s="1357"/>
      <c r="HL57" s="1357"/>
      <c r="HM57" s="1357"/>
      <c r="HN57" s="1357"/>
      <c r="HO57" s="1357"/>
      <c r="HP57" s="1357"/>
      <c r="HQ57" s="1357"/>
      <c r="HR57" s="1357"/>
      <c r="HS57" s="1357"/>
      <c r="HT57" s="1357"/>
      <c r="HU57" s="1357"/>
      <c r="HV57" s="1357"/>
      <c r="HW57" s="1357"/>
      <c r="HX57" s="1357"/>
      <c r="HY57" s="1357"/>
      <c r="HZ57" s="1357"/>
      <c r="IA57" s="1357"/>
      <c r="IB57" s="1357"/>
      <c r="IC57" s="1357"/>
      <c r="ID57" s="1357"/>
      <c r="IE57" s="1357"/>
      <c r="IF57" s="1357"/>
      <c r="IG57" s="1357"/>
      <c r="IH57" s="1357"/>
      <c r="II57" s="1357"/>
      <c r="IJ57" s="1357"/>
      <c r="IK57" s="1357"/>
      <c r="IL57" s="1357"/>
      <c r="IM57" s="1357"/>
      <c r="IN57" s="1357"/>
      <c r="IO57" s="1357"/>
      <c r="IP57" s="1357"/>
      <c r="IQ57" s="1357"/>
      <c r="IR57" s="1357"/>
      <c r="IS57" s="1357"/>
      <c r="IT57" s="1357"/>
      <c r="IU57" s="1357"/>
      <c r="IV57" s="1357"/>
    </row>
    <row r="58" spans="1:256">
      <c r="A58" s="1361">
        <f>+A56+1</f>
        <v>37</v>
      </c>
      <c r="B58" s="1358" t="s">
        <v>518</v>
      </c>
      <c r="C58" s="1370"/>
      <c r="D58" s="829">
        <f>+D56</f>
        <v>0</v>
      </c>
      <c r="E58" s="1358"/>
      <c r="F58" s="1358"/>
      <c r="G58" s="1358"/>
      <c r="H58" s="1370"/>
      <c r="I58" s="829">
        <f>+I56</f>
        <v>0</v>
      </c>
      <c r="J58" s="1357"/>
      <c r="K58" s="1357"/>
      <c r="L58" s="1357"/>
      <c r="M58" s="1357"/>
      <c r="N58" s="1357"/>
      <c r="O58" s="1357"/>
      <c r="P58" s="1357"/>
      <c r="Q58" s="1357"/>
      <c r="R58" s="1357"/>
      <c r="S58" s="1357"/>
      <c r="T58" s="1357"/>
      <c r="U58" s="1357"/>
      <c r="V58" s="1357"/>
      <c r="W58" s="1357"/>
      <c r="X58" s="1357"/>
      <c r="Y58" s="1357"/>
      <c r="Z58" s="1357"/>
      <c r="AA58" s="1357"/>
      <c r="AB58" s="1357"/>
      <c r="AC58" s="1357"/>
      <c r="AD58" s="1357"/>
      <c r="AE58" s="1357"/>
      <c r="AF58" s="1357"/>
      <c r="AG58" s="1357"/>
      <c r="AH58" s="1357"/>
      <c r="AI58" s="1357"/>
      <c r="AJ58" s="1357"/>
      <c r="AK58" s="1357"/>
      <c r="AL58" s="1357"/>
      <c r="AM58" s="1357"/>
      <c r="AN58" s="1357"/>
      <c r="AO58" s="1357"/>
      <c r="AP58" s="1357"/>
      <c r="AQ58" s="1357"/>
      <c r="AR58" s="1357"/>
      <c r="AS58" s="1357"/>
      <c r="AT58" s="1357"/>
      <c r="AU58" s="1357"/>
      <c r="AV58" s="1357"/>
      <c r="AW58" s="1357"/>
      <c r="AX58" s="1357"/>
      <c r="AY58" s="1357"/>
      <c r="AZ58" s="1357"/>
      <c r="BA58" s="1357"/>
      <c r="BB58" s="1357"/>
      <c r="BC58" s="1357"/>
      <c r="BD58" s="1357"/>
      <c r="BE58" s="1357"/>
      <c r="BF58" s="1357"/>
      <c r="BG58" s="1357"/>
      <c r="BH58" s="1357"/>
      <c r="BI58" s="1357"/>
      <c r="BJ58" s="1357"/>
      <c r="BK58" s="1357"/>
      <c r="BL58" s="1357"/>
      <c r="BM58" s="1357"/>
      <c r="BN58" s="1357"/>
      <c r="BO58" s="1357"/>
      <c r="BP58" s="1357"/>
      <c r="BQ58" s="1357"/>
      <c r="BR58" s="1357"/>
      <c r="BS58" s="1357"/>
      <c r="BT58" s="1357"/>
      <c r="BU58" s="1357"/>
      <c r="BV58" s="1357"/>
      <c r="BW58" s="1357"/>
      <c r="BX58" s="1357"/>
      <c r="BY58" s="1357"/>
      <c r="BZ58" s="1357"/>
      <c r="CA58" s="1357"/>
      <c r="CB58" s="1357"/>
      <c r="CC58" s="1357"/>
      <c r="CD58" s="1357"/>
      <c r="CE58" s="1357"/>
      <c r="CF58" s="1357"/>
      <c r="CG58" s="1357"/>
      <c r="CH58" s="1357"/>
      <c r="CI58" s="1357"/>
      <c r="CJ58" s="1357"/>
      <c r="CK58" s="1357"/>
      <c r="CL58" s="1357"/>
      <c r="CM58" s="1357"/>
      <c r="CN58" s="1357"/>
      <c r="CO58" s="1357"/>
      <c r="CP58" s="1357"/>
      <c r="CQ58" s="1357"/>
      <c r="CR58" s="1357"/>
      <c r="CS58" s="1357"/>
      <c r="CT58" s="1357"/>
      <c r="CU58" s="1357"/>
      <c r="CV58" s="1357"/>
      <c r="CW58" s="1357"/>
      <c r="CX58" s="1357"/>
      <c r="CY58" s="1357"/>
      <c r="CZ58" s="1357"/>
      <c r="DA58" s="1357"/>
      <c r="DB58" s="1357"/>
      <c r="DC58" s="1357"/>
      <c r="DD58" s="1357"/>
      <c r="DE58" s="1357"/>
      <c r="DF58" s="1357"/>
      <c r="DG58" s="1357"/>
      <c r="DH58" s="1357"/>
      <c r="DI58" s="1357"/>
      <c r="DJ58" s="1357"/>
      <c r="DK58" s="1357"/>
      <c r="DL58" s="1357"/>
      <c r="DM58" s="1357"/>
      <c r="DN58" s="1357"/>
      <c r="DO58" s="1357"/>
      <c r="DP58" s="1357"/>
      <c r="DQ58" s="1357"/>
      <c r="DR58" s="1357"/>
      <c r="DS58" s="1357"/>
      <c r="DT58" s="1357"/>
      <c r="DU58" s="1357"/>
      <c r="DV58" s="1357"/>
      <c r="DW58" s="1357"/>
      <c r="DX58" s="1357"/>
      <c r="DY58" s="1357"/>
      <c r="DZ58" s="1357"/>
      <c r="EA58" s="1357"/>
      <c r="EB58" s="1357"/>
      <c r="EC58" s="1357"/>
      <c r="ED58" s="1357"/>
      <c r="EE58" s="1357"/>
      <c r="EF58" s="1357"/>
      <c r="EG58" s="1357"/>
      <c r="EH58" s="1357"/>
      <c r="EI58" s="1357"/>
      <c r="EJ58" s="1357"/>
      <c r="EK58" s="1357"/>
      <c r="EL58" s="1357"/>
      <c r="EM58" s="1357"/>
      <c r="EN58" s="1357"/>
      <c r="EO58" s="1357"/>
      <c r="EP58" s="1357"/>
      <c r="EQ58" s="1357"/>
      <c r="ER58" s="1357"/>
      <c r="ES58" s="1357"/>
      <c r="ET58" s="1357"/>
      <c r="EU58" s="1357"/>
      <c r="EV58" s="1357"/>
      <c r="EW58" s="1357"/>
      <c r="EX58" s="1357"/>
      <c r="EY58" s="1357"/>
      <c r="EZ58" s="1357"/>
      <c r="FA58" s="1357"/>
      <c r="FB58" s="1357"/>
      <c r="FC58" s="1357"/>
      <c r="FD58" s="1357"/>
      <c r="FE58" s="1357"/>
      <c r="FF58" s="1357"/>
      <c r="FG58" s="1357"/>
      <c r="FH58" s="1357"/>
      <c r="FI58" s="1357"/>
      <c r="FJ58" s="1357"/>
      <c r="FK58" s="1357"/>
      <c r="FL58" s="1357"/>
      <c r="FM58" s="1357"/>
      <c r="FN58" s="1357"/>
      <c r="FO58" s="1357"/>
      <c r="FP58" s="1357"/>
      <c r="FQ58" s="1357"/>
      <c r="FR58" s="1357"/>
      <c r="FS58" s="1357"/>
      <c r="FT58" s="1357"/>
      <c r="FU58" s="1357"/>
      <c r="FV58" s="1357"/>
      <c r="FW58" s="1357"/>
      <c r="FX58" s="1357"/>
      <c r="FY58" s="1357"/>
      <c r="FZ58" s="1357"/>
      <c r="GA58" s="1357"/>
      <c r="GB58" s="1357"/>
      <c r="GC58" s="1357"/>
      <c r="GD58" s="1357"/>
      <c r="GE58" s="1357"/>
      <c r="GF58" s="1357"/>
      <c r="GG58" s="1357"/>
      <c r="GH58" s="1357"/>
      <c r="GI58" s="1357"/>
      <c r="GJ58" s="1357"/>
      <c r="GK58" s="1357"/>
      <c r="GL58" s="1357"/>
      <c r="GM58" s="1357"/>
      <c r="GN58" s="1357"/>
      <c r="GO58" s="1357"/>
      <c r="GP58" s="1357"/>
      <c r="GQ58" s="1357"/>
      <c r="GR58" s="1357"/>
      <c r="GS58" s="1357"/>
      <c r="GT58" s="1357"/>
      <c r="GU58" s="1357"/>
      <c r="GV58" s="1357"/>
      <c r="GW58" s="1357"/>
      <c r="GX58" s="1357"/>
      <c r="GY58" s="1357"/>
      <c r="GZ58" s="1357"/>
      <c r="HA58" s="1357"/>
      <c r="HB58" s="1357"/>
      <c r="HC58" s="1357"/>
      <c r="HD58" s="1357"/>
      <c r="HE58" s="1357"/>
      <c r="HF58" s="1357"/>
      <c r="HG58" s="1357"/>
      <c r="HH58" s="1357"/>
      <c r="HI58" s="1357"/>
      <c r="HJ58" s="1357"/>
      <c r="HK58" s="1357"/>
      <c r="HL58" s="1357"/>
      <c r="HM58" s="1357"/>
      <c r="HN58" s="1357"/>
      <c r="HO58" s="1357"/>
      <c r="HP58" s="1357"/>
      <c r="HQ58" s="1357"/>
      <c r="HR58" s="1357"/>
      <c r="HS58" s="1357"/>
      <c r="HT58" s="1357"/>
      <c r="HU58" s="1357"/>
      <c r="HV58" s="1357"/>
      <c r="HW58" s="1357"/>
      <c r="HX58" s="1357"/>
      <c r="HY58" s="1357"/>
      <c r="HZ58" s="1357"/>
      <c r="IA58" s="1357"/>
      <c r="IB58" s="1357"/>
      <c r="IC58" s="1357"/>
      <c r="ID58" s="1357"/>
      <c r="IE58" s="1357"/>
      <c r="IF58" s="1357"/>
      <c r="IG58" s="1357"/>
      <c r="IH58" s="1357"/>
      <c r="II58" s="1357"/>
      <c r="IJ58" s="1357"/>
      <c r="IK58" s="1357"/>
      <c r="IL58" s="1357"/>
      <c r="IM58" s="1357"/>
      <c r="IN58" s="1357"/>
      <c r="IO58" s="1357"/>
      <c r="IP58" s="1357"/>
      <c r="IQ58" s="1357"/>
      <c r="IR58" s="1357"/>
      <c r="IS58" s="1357"/>
      <c r="IT58" s="1357"/>
      <c r="IU58" s="1357"/>
      <c r="IV58" s="1357"/>
    </row>
    <row r="59" spans="1:256">
      <c r="A59" s="1361"/>
      <c r="B59" s="1371"/>
      <c r="C59" s="1371"/>
      <c r="D59" s="1371"/>
      <c r="E59" s="1371"/>
      <c r="F59" s="1371"/>
      <c r="G59" s="1371"/>
      <c r="H59" s="1371"/>
      <c r="I59" s="1371"/>
      <c r="J59" s="1357"/>
      <c r="K59" s="1357"/>
      <c r="L59" s="1357"/>
      <c r="M59" s="1357"/>
      <c r="N59" s="1357"/>
      <c r="O59" s="1357"/>
      <c r="P59" s="1357"/>
      <c r="Q59" s="1357"/>
      <c r="R59" s="1357"/>
      <c r="S59" s="1357"/>
      <c r="T59" s="1357"/>
      <c r="U59" s="1357"/>
      <c r="V59" s="1357"/>
      <c r="W59" s="1357"/>
      <c r="X59" s="1357"/>
      <c r="Y59" s="1357"/>
      <c r="Z59" s="1357"/>
      <c r="AA59" s="1357"/>
      <c r="AB59" s="1357"/>
      <c r="AC59" s="1357"/>
      <c r="AD59" s="1357"/>
      <c r="AE59" s="1357"/>
      <c r="AF59" s="1357"/>
      <c r="AG59" s="1357"/>
      <c r="AH59" s="1357"/>
      <c r="AI59" s="1357"/>
      <c r="AJ59" s="1357"/>
      <c r="AK59" s="1357"/>
      <c r="AL59" s="1357"/>
      <c r="AM59" s="1357"/>
      <c r="AN59" s="1357"/>
      <c r="AO59" s="1357"/>
      <c r="AP59" s="1357"/>
      <c r="AQ59" s="1357"/>
      <c r="AR59" s="1357"/>
      <c r="AS59" s="1357"/>
      <c r="AT59" s="1357"/>
      <c r="AU59" s="1357"/>
      <c r="AV59" s="1357"/>
      <c r="AW59" s="1357"/>
      <c r="AX59" s="1357"/>
      <c r="AY59" s="1357"/>
      <c r="AZ59" s="1357"/>
      <c r="BA59" s="1357"/>
      <c r="BB59" s="1357"/>
      <c r="BC59" s="1357"/>
      <c r="BD59" s="1357"/>
      <c r="BE59" s="1357"/>
      <c r="BF59" s="1357"/>
      <c r="BG59" s="1357"/>
      <c r="BH59" s="1357"/>
      <c r="BI59" s="1357"/>
      <c r="BJ59" s="1357"/>
      <c r="BK59" s="1357"/>
      <c r="BL59" s="1357"/>
      <c r="BM59" s="1357"/>
      <c r="BN59" s="1357"/>
      <c r="BO59" s="1357"/>
      <c r="BP59" s="1357"/>
      <c r="BQ59" s="1357"/>
      <c r="BR59" s="1357"/>
      <c r="BS59" s="1357"/>
      <c r="BT59" s="1357"/>
      <c r="BU59" s="1357"/>
      <c r="BV59" s="1357"/>
      <c r="BW59" s="1357"/>
      <c r="BX59" s="1357"/>
      <c r="BY59" s="1357"/>
      <c r="BZ59" s="1357"/>
      <c r="CA59" s="1357"/>
      <c r="CB59" s="1357"/>
      <c r="CC59" s="1357"/>
      <c r="CD59" s="1357"/>
      <c r="CE59" s="1357"/>
      <c r="CF59" s="1357"/>
      <c r="CG59" s="1357"/>
      <c r="CH59" s="1357"/>
      <c r="CI59" s="1357"/>
      <c r="CJ59" s="1357"/>
      <c r="CK59" s="1357"/>
      <c r="CL59" s="1357"/>
      <c r="CM59" s="1357"/>
      <c r="CN59" s="1357"/>
      <c r="CO59" s="1357"/>
      <c r="CP59" s="1357"/>
      <c r="CQ59" s="1357"/>
      <c r="CR59" s="1357"/>
      <c r="CS59" s="1357"/>
      <c r="CT59" s="1357"/>
      <c r="CU59" s="1357"/>
      <c r="CV59" s="1357"/>
      <c r="CW59" s="1357"/>
      <c r="CX59" s="1357"/>
      <c r="CY59" s="1357"/>
      <c r="CZ59" s="1357"/>
      <c r="DA59" s="1357"/>
      <c r="DB59" s="1357"/>
      <c r="DC59" s="1357"/>
      <c r="DD59" s="1357"/>
      <c r="DE59" s="1357"/>
      <c r="DF59" s="1357"/>
      <c r="DG59" s="1357"/>
      <c r="DH59" s="1357"/>
      <c r="DI59" s="1357"/>
      <c r="DJ59" s="1357"/>
      <c r="DK59" s="1357"/>
      <c r="DL59" s="1357"/>
      <c r="DM59" s="1357"/>
      <c r="DN59" s="1357"/>
      <c r="DO59" s="1357"/>
      <c r="DP59" s="1357"/>
      <c r="DQ59" s="1357"/>
      <c r="DR59" s="1357"/>
      <c r="DS59" s="1357"/>
      <c r="DT59" s="1357"/>
      <c r="DU59" s="1357"/>
      <c r="DV59" s="1357"/>
      <c r="DW59" s="1357"/>
      <c r="DX59" s="1357"/>
      <c r="DY59" s="1357"/>
      <c r="DZ59" s="1357"/>
      <c r="EA59" s="1357"/>
      <c r="EB59" s="1357"/>
      <c r="EC59" s="1357"/>
      <c r="ED59" s="1357"/>
      <c r="EE59" s="1357"/>
      <c r="EF59" s="1357"/>
      <c r="EG59" s="1357"/>
      <c r="EH59" s="1357"/>
      <c r="EI59" s="1357"/>
      <c r="EJ59" s="1357"/>
      <c r="EK59" s="1357"/>
      <c r="EL59" s="1357"/>
      <c r="EM59" s="1357"/>
      <c r="EN59" s="1357"/>
      <c r="EO59" s="1357"/>
      <c r="EP59" s="1357"/>
      <c r="EQ59" s="1357"/>
      <c r="ER59" s="1357"/>
      <c r="ES59" s="1357"/>
      <c r="ET59" s="1357"/>
      <c r="EU59" s="1357"/>
      <c r="EV59" s="1357"/>
      <c r="EW59" s="1357"/>
      <c r="EX59" s="1357"/>
      <c r="EY59" s="1357"/>
      <c r="EZ59" s="1357"/>
      <c r="FA59" s="1357"/>
      <c r="FB59" s="1357"/>
      <c r="FC59" s="1357"/>
      <c r="FD59" s="1357"/>
      <c r="FE59" s="1357"/>
      <c r="FF59" s="1357"/>
      <c r="FG59" s="1357"/>
      <c r="FH59" s="1357"/>
      <c r="FI59" s="1357"/>
      <c r="FJ59" s="1357"/>
      <c r="FK59" s="1357"/>
      <c r="FL59" s="1357"/>
      <c r="FM59" s="1357"/>
      <c r="FN59" s="1357"/>
      <c r="FO59" s="1357"/>
      <c r="FP59" s="1357"/>
      <c r="FQ59" s="1357"/>
      <c r="FR59" s="1357"/>
      <c r="FS59" s="1357"/>
      <c r="FT59" s="1357"/>
      <c r="FU59" s="1357"/>
      <c r="FV59" s="1357"/>
      <c r="FW59" s="1357"/>
      <c r="FX59" s="1357"/>
      <c r="FY59" s="1357"/>
      <c r="FZ59" s="1357"/>
      <c r="GA59" s="1357"/>
      <c r="GB59" s="1357"/>
      <c r="GC59" s="1357"/>
      <c r="GD59" s="1357"/>
      <c r="GE59" s="1357"/>
      <c r="GF59" s="1357"/>
      <c r="GG59" s="1357"/>
      <c r="GH59" s="1357"/>
      <c r="GI59" s="1357"/>
      <c r="GJ59" s="1357"/>
      <c r="GK59" s="1357"/>
      <c r="GL59" s="1357"/>
      <c r="GM59" s="1357"/>
      <c r="GN59" s="1357"/>
      <c r="GO59" s="1357"/>
      <c r="GP59" s="1357"/>
      <c r="GQ59" s="1357"/>
      <c r="GR59" s="1357"/>
      <c r="GS59" s="1357"/>
      <c r="GT59" s="1357"/>
      <c r="GU59" s="1357"/>
      <c r="GV59" s="1357"/>
      <c r="GW59" s="1357"/>
      <c r="GX59" s="1357"/>
      <c r="GY59" s="1357"/>
      <c r="GZ59" s="1357"/>
      <c r="HA59" s="1357"/>
      <c r="HB59" s="1357"/>
      <c r="HC59" s="1357"/>
      <c r="HD59" s="1357"/>
      <c r="HE59" s="1357"/>
      <c r="HF59" s="1357"/>
      <c r="HG59" s="1357"/>
      <c r="HH59" s="1357"/>
      <c r="HI59" s="1357"/>
      <c r="HJ59" s="1357"/>
      <c r="HK59" s="1357"/>
      <c r="HL59" s="1357"/>
      <c r="HM59" s="1357"/>
      <c r="HN59" s="1357"/>
      <c r="HO59" s="1357"/>
      <c r="HP59" s="1357"/>
      <c r="HQ59" s="1357"/>
      <c r="HR59" s="1357"/>
      <c r="HS59" s="1357"/>
      <c r="HT59" s="1357"/>
      <c r="HU59" s="1357"/>
      <c r="HV59" s="1357"/>
      <c r="HW59" s="1357"/>
      <c r="HX59" s="1357"/>
      <c r="HY59" s="1357"/>
      <c r="HZ59" s="1357"/>
      <c r="IA59" s="1357"/>
      <c r="IB59" s="1357"/>
      <c r="IC59" s="1357"/>
      <c r="ID59" s="1357"/>
      <c r="IE59" s="1357"/>
      <c r="IF59" s="1357"/>
      <c r="IG59" s="1357"/>
      <c r="IH59" s="1357"/>
      <c r="II59" s="1357"/>
      <c r="IJ59" s="1357"/>
      <c r="IK59" s="1357"/>
      <c r="IL59" s="1357"/>
      <c r="IM59" s="1357"/>
      <c r="IN59" s="1357"/>
      <c r="IO59" s="1357"/>
      <c r="IP59" s="1357"/>
      <c r="IQ59" s="1357"/>
      <c r="IR59" s="1357"/>
      <c r="IS59" s="1357"/>
      <c r="IT59" s="1357"/>
      <c r="IU59" s="1357"/>
      <c r="IV59" s="1357"/>
    </row>
    <row r="60" spans="1:256" ht="13" thickBot="1">
      <c r="A60" s="1361">
        <f>+A58+1</f>
        <v>38</v>
      </c>
      <c r="B60" s="1372" t="str">
        <f>"Proration Adjustment - Line "&amp;A58&amp;" Col. "&amp;I42&amp;" less Col. "&amp;D42</f>
        <v>Proration Adjustment - Line 37 Col. (H) less Col. (C )</v>
      </c>
      <c r="C60" s="1372"/>
      <c r="D60" s="1372"/>
      <c r="E60" s="1372"/>
      <c r="F60" s="1372"/>
      <c r="G60" s="1372"/>
      <c r="H60" s="1372"/>
      <c r="I60" s="1373">
        <f>+I58-D58</f>
        <v>0</v>
      </c>
      <c r="J60" s="1357"/>
      <c r="K60" s="1357"/>
      <c r="L60" s="1357"/>
      <c r="M60" s="1357"/>
      <c r="N60" s="1357"/>
      <c r="O60" s="1357"/>
      <c r="P60" s="1357"/>
      <c r="Q60" s="1357"/>
      <c r="R60" s="1357"/>
      <c r="S60" s="1357"/>
      <c r="T60" s="1357"/>
      <c r="U60" s="1357"/>
      <c r="V60" s="1357"/>
      <c r="W60" s="1357"/>
      <c r="X60" s="1357"/>
      <c r="Y60" s="1357"/>
      <c r="Z60" s="1357"/>
      <c r="AA60" s="1357"/>
      <c r="AB60" s="1357"/>
      <c r="AC60" s="1357"/>
      <c r="AD60" s="1357"/>
      <c r="AE60" s="1357"/>
      <c r="AF60" s="1357"/>
      <c r="AG60" s="1357"/>
      <c r="AH60" s="1357"/>
      <c r="AI60" s="1357"/>
      <c r="AJ60" s="1357"/>
      <c r="AK60" s="1357"/>
      <c r="AL60" s="1357"/>
      <c r="AM60" s="1357"/>
      <c r="AN60" s="1357"/>
      <c r="AO60" s="1357"/>
      <c r="AP60" s="1357"/>
      <c r="AQ60" s="1357"/>
      <c r="AR60" s="1357"/>
      <c r="AS60" s="1357"/>
      <c r="AT60" s="1357"/>
      <c r="AU60" s="1357"/>
      <c r="AV60" s="1357"/>
      <c r="AW60" s="1357"/>
      <c r="AX60" s="1357"/>
      <c r="AY60" s="1357"/>
      <c r="AZ60" s="1357"/>
      <c r="BA60" s="1357"/>
      <c r="BB60" s="1357"/>
      <c r="BC60" s="1357"/>
      <c r="BD60" s="1357"/>
      <c r="BE60" s="1357"/>
      <c r="BF60" s="1357"/>
      <c r="BG60" s="1357"/>
      <c r="BH60" s="1357"/>
      <c r="BI60" s="1357"/>
      <c r="BJ60" s="1357"/>
      <c r="BK60" s="1357"/>
      <c r="BL60" s="1357"/>
      <c r="BM60" s="1357"/>
      <c r="BN60" s="1357"/>
      <c r="BO60" s="1357"/>
      <c r="BP60" s="1357"/>
      <c r="BQ60" s="1357"/>
      <c r="BR60" s="1357"/>
      <c r="BS60" s="1357"/>
      <c r="BT60" s="1357"/>
      <c r="BU60" s="1357"/>
      <c r="BV60" s="1357"/>
      <c r="BW60" s="1357"/>
      <c r="BX60" s="1357"/>
      <c r="BY60" s="1357"/>
      <c r="BZ60" s="1357"/>
      <c r="CA60" s="1357"/>
      <c r="CB60" s="1357"/>
      <c r="CC60" s="1357"/>
      <c r="CD60" s="1357"/>
      <c r="CE60" s="1357"/>
      <c r="CF60" s="1357"/>
      <c r="CG60" s="1357"/>
      <c r="CH60" s="1357"/>
      <c r="CI60" s="1357"/>
      <c r="CJ60" s="1357"/>
      <c r="CK60" s="1357"/>
      <c r="CL60" s="1357"/>
      <c r="CM60" s="1357"/>
      <c r="CN60" s="1357"/>
      <c r="CO60" s="1357"/>
      <c r="CP60" s="1357"/>
      <c r="CQ60" s="1357"/>
      <c r="CR60" s="1357"/>
      <c r="CS60" s="1357"/>
      <c r="CT60" s="1357"/>
      <c r="CU60" s="1357"/>
      <c r="CV60" s="1357"/>
      <c r="CW60" s="1357"/>
      <c r="CX60" s="1357"/>
      <c r="CY60" s="1357"/>
      <c r="CZ60" s="1357"/>
      <c r="DA60" s="1357"/>
      <c r="DB60" s="1357"/>
      <c r="DC60" s="1357"/>
      <c r="DD60" s="1357"/>
      <c r="DE60" s="1357"/>
      <c r="DF60" s="1357"/>
      <c r="DG60" s="1357"/>
      <c r="DH60" s="1357"/>
      <c r="DI60" s="1357"/>
      <c r="DJ60" s="1357"/>
      <c r="DK60" s="1357"/>
      <c r="DL60" s="1357"/>
      <c r="DM60" s="1357"/>
      <c r="DN60" s="1357"/>
      <c r="DO60" s="1357"/>
      <c r="DP60" s="1357"/>
      <c r="DQ60" s="1357"/>
      <c r="DR60" s="1357"/>
      <c r="DS60" s="1357"/>
      <c r="DT60" s="1357"/>
      <c r="DU60" s="1357"/>
      <c r="DV60" s="1357"/>
      <c r="DW60" s="1357"/>
      <c r="DX60" s="1357"/>
      <c r="DY60" s="1357"/>
      <c r="DZ60" s="1357"/>
      <c r="EA60" s="1357"/>
      <c r="EB60" s="1357"/>
      <c r="EC60" s="1357"/>
      <c r="ED60" s="1357"/>
      <c r="EE60" s="1357"/>
      <c r="EF60" s="1357"/>
      <c r="EG60" s="1357"/>
      <c r="EH60" s="1357"/>
      <c r="EI60" s="1357"/>
      <c r="EJ60" s="1357"/>
      <c r="EK60" s="1357"/>
      <c r="EL60" s="1357"/>
      <c r="EM60" s="1357"/>
      <c r="EN60" s="1357"/>
      <c r="EO60" s="1357"/>
      <c r="EP60" s="1357"/>
      <c r="EQ60" s="1357"/>
      <c r="ER60" s="1357"/>
      <c r="ES60" s="1357"/>
      <c r="ET60" s="1357"/>
      <c r="EU60" s="1357"/>
      <c r="EV60" s="1357"/>
      <c r="EW60" s="1357"/>
      <c r="EX60" s="1357"/>
      <c r="EY60" s="1357"/>
      <c r="EZ60" s="1357"/>
      <c r="FA60" s="1357"/>
      <c r="FB60" s="1357"/>
      <c r="FC60" s="1357"/>
      <c r="FD60" s="1357"/>
      <c r="FE60" s="1357"/>
      <c r="FF60" s="1357"/>
      <c r="FG60" s="1357"/>
      <c r="FH60" s="1357"/>
      <c r="FI60" s="1357"/>
      <c r="FJ60" s="1357"/>
      <c r="FK60" s="1357"/>
      <c r="FL60" s="1357"/>
      <c r="FM60" s="1357"/>
      <c r="FN60" s="1357"/>
      <c r="FO60" s="1357"/>
      <c r="FP60" s="1357"/>
      <c r="FQ60" s="1357"/>
      <c r="FR60" s="1357"/>
      <c r="FS60" s="1357"/>
      <c r="FT60" s="1357"/>
      <c r="FU60" s="1357"/>
      <c r="FV60" s="1357"/>
      <c r="FW60" s="1357"/>
      <c r="FX60" s="1357"/>
      <c r="FY60" s="1357"/>
      <c r="FZ60" s="1357"/>
      <c r="GA60" s="1357"/>
      <c r="GB60" s="1357"/>
      <c r="GC60" s="1357"/>
      <c r="GD60" s="1357"/>
      <c r="GE60" s="1357"/>
      <c r="GF60" s="1357"/>
      <c r="GG60" s="1357"/>
      <c r="GH60" s="1357"/>
      <c r="GI60" s="1357"/>
      <c r="GJ60" s="1357"/>
      <c r="GK60" s="1357"/>
      <c r="GL60" s="1357"/>
      <c r="GM60" s="1357"/>
      <c r="GN60" s="1357"/>
      <c r="GO60" s="1357"/>
      <c r="GP60" s="1357"/>
      <c r="GQ60" s="1357"/>
      <c r="GR60" s="1357"/>
      <c r="GS60" s="1357"/>
      <c r="GT60" s="1357"/>
      <c r="GU60" s="1357"/>
      <c r="GV60" s="1357"/>
      <c r="GW60" s="1357"/>
      <c r="GX60" s="1357"/>
      <c r="GY60" s="1357"/>
      <c r="GZ60" s="1357"/>
      <c r="HA60" s="1357"/>
      <c r="HB60" s="1357"/>
      <c r="HC60" s="1357"/>
      <c r="HD60" s="1357"/>
      <c r="HE60" s="1357"/>
      <c r="HF60" s="1357"/>
      <c r="HG60" s="1357"/>
      <c r="HH60" s="1357"/>
      <c r="HI60" s="1357"/>
      <c r="HJ60" s="1357"/>
      <c r="HK60" s="1357"/>
      <c r="HL60" s="1357"/>
      <c r="HM60" s="1357"/>
      <c r="HN60" s="1357"/>
      <c r="HO60" s="1357"/>
      <c r="HP60" s="1357"/>
      <c r="HQ60" s="1357"/>
      <c r="HR60" s="1357"/>
      <c r="HS60" s="1357"/>
      <c r="HT60" s="1357"/>
      <c r="HU60" s="1357"/>
      <c r="HV60" s="1357"/>
      <c r="HW60" s="1357"/>
      <c r="HX60" s="1357"/>
      <c r="HY60" s="1357"/>
      <c r="HZ60" s="1357"/>
      <c r="IA60" s="1357"/>
      <c r="IB60" s="1357"/>
      <c r="IC60" s="1357"/>
      <c r="ID60" s="1357"/>
      <c r="IE60" s="1357"/>
      <c r="IF60" s="1357"/>
      <c r="IG60" s="1357"/>
      <c r="IH60" s="1357"/>
      <c r="II60" s="1357"/>
      <c r="IJ60" s="1357"/>
      <c r="IK60" s="1357"/>
      <c r="IL60" s="1357"/>
      <c r="IM60" s="1357"/>
      <c r="IN60" s="1357"/>
      <c r="IO60" s="1357"/>
      <c r="IP60" s="1357"/>
      <c r="IQ60" s="1357"/>
      <c r="IR60" s="1357"/>
      <c r="IS60" s="1357"/>
      <c r="IT60" s="1357"/>
      <c r="IU60" s="1357"/>
      <c r="IV60" s="1357"/>
    </row>
    <row r="61" spans="1:256" ht="13" thickTop="1"/>
    <row r="62" spans="1:256">
      <c r="A62" s="835" t="s">
        <v>314</v>
      </c>
    </row>
    <row r="63" spans="1:256" ht="27.75" customHeight="1">
      <c r="A63" s="836">
        <v>1</v>
      </c>
      <c r="B63" s="2409" t="s">
        <v>844</v>
      </c>
      <c r="C63" s="2409"/>
      <c r="D63" s="2409"/>
      <c r="E63" s="2409"/>
      <c r="F63" s="2409"/>
      <c r="G63" s="2409"/>
      <c r="H63" s="2409"/>
      <c r="I63" s="2409"/>
    </row>
  </sheetData>
  <mergeCells count="9">
    <mergeCell ref="E10:F10"/>
    <mergeCell ref="E36:F36"/>
    <mergeCell ref="B63:I63"/>
    <mergeCell ref="A3:I3"/>
    <mergeCell ref="A4:I4"/>
    <mergeCell ref="A5:I5"/>
    <mergeCell ref="A6:I6"/>
    <mergeCell ref="B7:E7"/>
    <mergeCell ref="A8:I8"/>
  </mergeCells>
  <pageMargins left="0.7" right="0.7" top="0.75" bottom="0.75" header="0.3" footer="0.3"/>
  <pageSetup scale="62" orientation="portrait" r:id="rId1"/>
  <headerFooter>
    <oddHeader>&amp;RAEP - SPP Formula Rate
TCOS - WS-C-3
Page: &amp;P of &amp;N</oddHead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67"/>
  <sheetViews>
    <sheetView topLeftCell="A30" zoomScale="80" zoomScaleNormal="80" zoomScaleSheetLayoutView="80" workbookViewId="0">
      <selection activeCell="J38" sqref="J38"/>
    </sheetView>
  </sheetViews>
  <sheetFormatPr defaultColWidth="9.1796875" defaultRowHeight="12.5"/>
  <cols>
    <col min="1" max="1" width="9.1796875" style="850"/>
    <col min="2" max="2" width="47.81640625" style="838" customWidth="1"/>
    <col min="3" max="3" width="38.453125" style="838" customWidth="1"/>
    <col min="4" max="4" width="18.453125" style="838" customWidth="1"/>
    <col min="5" max="5" width="14.1796875" style="838" customWidth="1"/>
    <col min="6" max="6" width="15.1796875" style="838" customWidth="1"/>
    <col min="7" max="7" width="14.453125" style="838" customWidth="1"/>
    <col min="8" max="9" width="12.81640625" style="838" customWidth="1"/>
    <col min="10" max="10" width="9.1796875" style="838"/>
    <col min="11" max="12" width="11.81640625" style="838" bestFit="1" customWidth="1"/>
    <col min="13" max="16384" width="9.1796875" style="838"/>
  </cols>
  <sheetData>
    <row r="1" spans="1:12" ht="15.5">
      <c r="A1" s="837"/>
    </row>
    <row r="3" spans="1:12" s="843" customFormat="1" ht="15.5">
      <c r="A3" s="840"/>
      <c r="B3" s="2305" t="str">
        <f>+'SWEPCO TCOS'!F4</f>
        <v xml:space="preserve">AEP West SPP Member Operating Companies </v>
      </c>
      <c r="C3" s="2305"/>
      <c r="D3" s="2305"/>
      <c r="E3" s="2305"/>
      <c r="F3" s="2305"/>
      <c r="G3" s="2305"/>
      <c r="H3" s="2305"/>
      <c r="I3" s="2305"/>
      <c r="J3" s="841"/>
      <c r="K3" s="841"/>
      <c r="L3" s="841"/>
    </row>
    <row r="4" spans="1:12" s="843" customFormat="1" ht="15.5">
      <c r="A4" s="840"/>
      <c r="B4" s="2306" t="str">
        <f>+'SWEPCO WS A-1 - Plant'!A3</f>
        <v xml:space="preserve">Actual / Projected 2024 Rate Year Cost of Service Formula Rate </v>
      </c>
      <c r="C4" s="2306"/>
      <c r="D4" s="2306"/>
      <c r="E4" s="2306"/>
      <c r="F4" s="2306"/>
      <c r="G4" s="2306"/>
      <c r="H4" s="2306"/>
      <c r="I4" s="2306"/>
      <c r="J4" s="844"/>
      <c r="K4" s="844"/>
      <c r="L4" s="844"/>
    </row>
    <row r="5" spans="1:12" s="843" customFormat="1" ht="15.5">
      <c r="A5" s="840"/>
      <c r="B5" s="2307" t="s">
        <v>929</v>
      </c>
      <c r="C5" s="2307"/>
      <c r="D5" s="2307"/>
      <c r="E5" s="2307"/>
      <c r="F5" s="2307"/>
      <c r="G5" s="2307"/>
      <c r="H5" s="2307"/>
      <c r="I5" s="2307"/>
      <c r="J5" s="846"/>
      <c r="K5" s="846"/>
      <c r="L5" s="846"/>
    </row>
    <row r="6" spans="1:12" s="843" customFormat="1" ht="15.5">
      <c r="A6" s="840"/>
      <c r="B6" s="2308" t="str">
        <f>+'SWEPCO TCOS'!F8</f>
        <v>SOUTHWESTERN ELECTRIC POWER COMPANY</v>
      </c>
      <c r="C6" s="2308"/>
      <c r="D6" s="2308"/>
      <c r="E6" s="2308"/>
      <c r="F6" s="2308"/>
      <c r="G6" s="2308"/>
      <c r="H6" s="2308"/>
      <c r="I6" s="2308"/>
      <c r="J6" s="848"/>
      <c r="K6" s="848"/>
      <c r="L6" s="848"/>
    </row>
    <row r="8" spans="1:12">
      <c r="B8" s="838" t="s">
        <v>852</v>
      </c>
    </row>
    <row r="9" spans="1:12" ht="25.5" customHeight="1">
      <c r="B9" s="2304" t="s">
        <v>853</v>
      </c>
      <c r="C9" s="2304"/>
      <c r="D9" s="2304"/>
      <c r="E9" s="2304"/>
      <c r="F9" s="2304"/>
      <c r="G9" s="2304"/>
      <c r="H9" s="2304"/>
      <c r="I9" s="2304"/>
    </row>
    <row r="10" spans="1:12" ht="27" customHeight="1">
      <c r="B10" s="2302" t="s">
        <v>1506</v>
      </c>
      <c r="C10" s="2302"/>
      <c r="D10" s="2302"/>
      <c r="E10" s="2302"/>
      <c r="F10" s="2302"/>
      <c r="G10" s="2302"/>
      <c r="H10" s="2302"/>
      <c r="I10" s="2037"/>
    </row>
    <row r="11" spans="1:12" ht="12.75" customHeight="1">
      <c r="B11" s="2304" t="s">
        <v>1281</v>
      </c>
      <c r="C11" s="2304"/>
      <c r="D11" s="2304"/>
      <c r="E11" s="2304"/>
      <c r="F11" s="2304"/>
      <c r="G11" s="2304"/>
      <c r="H11" s="2304"/>
      <c r="I11" s="2304"/>
    </row>
    <row r="13" spans="1:12" ht="13">
      <c r="B13" s="851" t="s">
        <v>301</v>
      </c>
      <c r="C13" s="852" t="s">
        <v>302</v>
      </c>
      <c r="D13" s="852"/>
      <c r="E13" s="852" t="s">
        <v>303</v>
      </c>
      <c r="F13" s="852" t="s">
        <v>304</v>
      </c>
      <c r="G13" s="852" t="s">
        <v>229</v>
      </c>
      <c r="H13" s="852" t="s">
        <v>230</v>
      </c>
      <c r="I13" s="852" t="s">
        <v>231</v>
      </c>
    </row>
    <row r="14" spans="1:12" ht="13">
      <c r="A14" s="853" t="s">
        <v>308</v>
      </c>
    </row>
    <row r="15" spans="1:12">
      <c r="A15" s="854"/>
      <c r="E15" s="2309" t="s">
        <v>848</v>
      </c>
      <c r="F15" s="2309"/>
      <c r="G15" s="2309"/>
      <c r="H15" s="2309"/>
      <c r="I15" s="2309"/>
    </row>
    <row r="16" spans="1:12" ht="14">
      <c r="A16" s="854"/>
      <c r="B16" s="855" t="s">
        <v>849</v>
      </c>
      <c r="C16" s="856" t="s">
        <v>345</v>
      </c>
      <c r="D16" s="856" t="s">
        <v>258</v>
      </c>
      <c r="E16" s="857">
        <v>1901001</v>
      </c>
      <c r="F16" s="857">
        <v>2821001</v>
      </c>
      <c r="G16" s="857">
        <v>2831001</v>
      </c>
      <c r="H16" s="857" t="s">
        <v>851</v>
      </c>
      <c r="I16" s="857" t="s">
        <v>851</v>
      </c>
    </row>
    <row r="17" spans="1:10">
      <c r="A17" s="854"/>
      <c r="B17" s="1816" t="s">
        <v>1282</v>
      </c>
      <c r="C17" s="1817"/>
      <c r="D17" s="1817"/>
      <c r="E17" s="857"/>
      <c r="F17" s="857" t="s">
        <v>1283</v>
      </c>
      <c r="G17" s="857" t="s">
        <v>1283</v>
      </c>
      <c r="H17" s="857"/>
      <c r="I17" s="857"/>
    </row>
    <row r="18" spans="1:10" ht="25">
      <c r="A18" s="854">
        <v>1</v>
      </c>
      <c r="B18" s="858" t="s">
        <v>878</v>
      </c>
      <c r="C18" s="850" t="s">
        <v>854</v>
      </c>
      <c r="D18" s="2179">
        <f>+SUM(E18:I18)</f>
        <v>0</v>
      </c>
      <c r="E18" s="2180">
        <v>0</v>
      </c>
      <c r="F18" s="2180">
        <v>0</v>
      </c>
      <c r="G18" s="2180">
        <v>0</v>
      </c>
      <c r="H18" s="2178"/>
      <c r="I18" s="2178"/>
      <c r="J18"/>
    </row>
    <row r="19" spans="1:10">
      <c r="A19" s="854">
        <f t="shared" ref="A19:A47" si="0">+A18+1</f>
        <v>2</v>
      </c>
      <c r="B19" s="858" t="s">
        <v>861</v>
      </c>
      <c r="C19"/>
      <c r="D19" s="861"/>
      <c r="E19" s="860">
        <v>5</v>
      </c>
      <c r="F19" s="860">
        <v>5</v>
      </c>
      <c r="G19" s="860">
        <v>5</v>
      </c>
      <c r="H19" s="860">
        <v>5</v>
      </c>
      <c r="I19" s="860">
        <v>5</v>
      </c>
      <c r="J19"/>
    </row>
    <row r="20" spans="1:10">
      <c r="A20" s="854">
        <f t="shared" si="0"/>
        <v>3</v>
      </c>
      <c r="B20" s="862" t="s">
        <v>850</v>
      </c>
      <c r="C20" s="863" t="str">
        <f>"Line "&amp;A18&amp;" / Line "&amp;A19&amp;" NOTE B"</f>
        <v>Line 1 / Line 2 NOTE B</v>
      </c>
      <c r="D20" s="2190">
        <f>+SUM(E20:I20)</f>
        <v>0</v>
      </c>
      <c r="E20" s="2182">
        <f>+E18/E19</f>
        <v>0</v>
      </c>
      <c r="F20" s="2182">
        <f t="shared" ref="F20:G20" si="1">+F18/F19</f>
        <v>0</v>
      </c>
      <c r="G20" s="2182">
        <f t="shared" si="1"/>
        <v>0</v>
      </c>
      <c r="H20" s="2182">
        <f>+H18/H19</f>
        <v>0</v>
      </c>
      <c r="I20" s="2182">
        <f>+I18/I19</f>
        <v>0</v>
      </c>
      <c r="J20"/>
    </row>
    <row r="21" spans="1:10" ht="13.5" customHeight="1">
      <c r="A21" s="854">
        <f t="shared" si="0"/>
        <v>4</v>
      </c>
      <c r="B21" s="858" t="s">
        <v>846</v>
      </c>
      <c r="C21" s="850" t="s">
        <v>854</v>
      </c>
      <c r="D21" s="2179">
        <f>+SUM(E21:I21)</f>
        <v>0</v>
      </c>
      <c r="E21" s="2180"/>
      <c r="F21" s="2180">
        <v>0</v>
      </c>
      <c r="G21" s="2180">
        <v>0</v>
      </c>
      <c r="H21" s="859"/>
      <c r="I21" s="859"/>
      <c r="J21"/>
    </row>
    <row r="22" spans="1:10">
      <c r="A22" s="854">
        <f t="shared" si="0"/>
        <v>5</v>
      </c>
      <c r="B22" s="862" t="s">
        <v>847</v>
      </c>
      <c r="C22" s="863" t="str">
        <f>"Line "&amp;A20&amp;" + Line "&amp;A21</f>
        <v>Line 3 + Line 4</v>
      </c>
      <c r="D22" s="2190">
        <f>+SUM(E22:I22)</f>
        <v>0</v>
      </c>
      <c r="E22" s="2190">
        <f>+E20+E21</f>
        <v>0</v>
      </c>
      <c r="F22" s="2190">
        <f>+F20+F21</f>
        <v>0</v>
      </c>
      <c r="G22" s="2190">
        <f>+G20+G21</f>
        <v>0</v>
      </c>
      <c r="H22" s="2182">
        <f>+H20+H21</f>
        <v>0</v>
      </c>
      <c r="I22" s="2182">
        <f>+I20+I21</f>
        <v>0</v>
      </c>
      <c r="J22"/>
    </row>
    <row r="23" spans="1:10">
      <c r="A23" s="854"/>
      <c r="B23" s="865"/>
      <c r="E23" s="2184"/>
      <c r="F23" s="2184"/>
      <c r="G23" s="2184"/>
      <c r="H23" s="2184"/>
      <c r="I23" s="2184"/>
      <c r="J23"/>
    </row>
    <row r="24" spans="1:10" ht="25">
      <c r="A24" s="854">
        <f>+A22+1</f>
        <v>6</v>
      </c>
      <c r="B24" s="858" t="s">
        <v>863</v>
      </c>
      <c r="C24" s="859" t="s">
        <v>865</v>
      </c>
      <c r="D24" s="850">
        <f>+SUM(E24:I24)</f>
        <v>-5324398.3</v>
      </c>
      <c r="E24" s="2184">
        <v>0</v>
      </c>
      <c r="F24" s="2185">
        <f>'SWEPCO WS C-2 ADIT BOY'!H12</f>
        <v>-7402433.9100000001</v>
      </c>
      <c r="G24" s="2185">
        <f>'SWEPCO WS C-2 ADIT BOY'!H51</f>
        <v>2078035.61</v>
      </c>
      <c r="H24" s="2184"/>
      <c r="I24" s="2184"/>
      <c r="J24"/>
    </row>
    <row r="25" spans="1:10" ht="25">
      <c r="A25" s="854">
        <f t="shared" si="0"/>
        <v>7</v>
      </c>
      <c r="B25" s="858" t="s">
        <v>862</v>
      </c>
      <c r="C25" s="850" t="str">
        <f>"Line "&amp;A18&amp;" - Line "&amp;A21</f>
        <v>Line 1 - Line 4</v>
      </c>
      <c r="D25" s="850">
        <f t="shared" ref="D25:D26" si="2">+SUM(E25:I25)</f>
        <v>0</v>
      </c>
      <c r="E25" s="2184">
        <f>+E18-E21</f>
        <v>0</v>
      </c>
      <c r="F25" s="2184">
        <f>+F18-F21</f>
        <v>0</v>
      </c>
      <c r="G25" s="2184">
        <f>+G18-G21</f>
        <v>0</v>
      </c>
      <c r="H25" s="2184">
        <f>+H18-H21</f>
        <v>0</v>
      </c>
      <c r="I25" s="2184">
        <f>+I18-I21</f>
        <v>0</v>
      </c>
      <c r="J25"/>
    </row>
    <row r="26" spans="1:10">
      <c r="A26" s="854">
        <f t="shared" si="0"/>
        <v>8</v>
      </c>
      <c r="B26" s="862" t="s">
        <v>864</v>
      </c>
      <c r="C26" s="863" t="str">
        <f>"Line "&amp;A24&amp;" - Line "&amp;A25</f>
        <v>Line 6 - Line 7</v>
      </c>
      <c r="D26" s="863">
        <f t="shared" si="2"/>
        <v>-5324398.3</v>
      </c>
      <c r="E26" s="2182">
        <f>+E24-E25</f>
        <v>0</v>
      </c>
      <c r="F26" s="2182">
        <f>+F24-F25</f>
        <v>-7402433.9100000001</v>
      </c>
      <c r="G26" s="2182">
        <f>+G24-G25</f>
        <v>2078035.61</v>
      </c>
      <c r="H26" s="2182">
        <f>+H24-H25</f>
        <v>0</v>
      </c>
      <c r="I26" s="2182">
        <f>+I24-I25</f>
        <v>0</v>
      </c>
      <c r="J26"/>
    </row>
    <row r="27" spans="1:10">
      <c r="A27" s="854"/>
      <c r="B27" s="858"/>
      <c r="E27" s="2184"/>
      <c r="F27" s="2184"/>
      <c r="G27" s="2184"/>
      <c r="H27" s="2184"/>
      <c r="I27" s="2184"/>
      <c r="J27"/>
    </row>
    <row r="28" spans="1:10">
      <c r="A28" s="854">
        <f>+A26+1</f>
        <v>9</v>
      </c>
      <c r="B28" s="858" t="s">
        <v>856</v>
      </c>
      <c r="C28" s="859" t="s">
        <v>857</v>
      </c>
      <c r="D28" s="850">
        <f>+SUM(E28:I28)</f>
        <v>-5324398.3</v>
      </c>
      <c r="E28" s="2189">
        <v>0</v>
      </c>
      <c r="F28" s="2187">
        <f>'SWEPCO WS C-1 ADIT EOY'!H12</f>
        <v>-7402433.9100000001</v>
      </c>
      <c r="G28" s="2187">
        <f>'SWEPCO WS C-1 ADIT EOY'!H51</f>
        <v>2078035.61</v>
      </c>
      <c r="H28" s="2186"/>
      <c r="I28" s="2186"/>
      <c r="J28"/>
    </row>
    <row r="29" spans="1:10" ht="25">
      <c r="A29" s="854">
        <f t="shared" si="0"/>
        <v>10</v>
      </c>
      <c r="B29" s="858" t="s">
        <v>860</v>
      </c>
      <c r="C29" s="850" t="str">
        <f>"Line "&amp;A18&amp;" - Line "&amp;A22</f>
        <v>Line 1 - Line 5</v>
      </c>
      <c r="D29" s="850">
        <f t="shared" ref="D29:D30" si="3">+SUM(E29:I29)</f>
        <v>0</v>
      </c>
      <c r="E29" s="2188">
        <f>+E18-E22</f>
        <v>0</v>
      </c>
      <c r="F29" s="2188">
        <f>+F18-F22</f>
        <v>0</v>
      </c>
      <c r="G29" s="2188">
        <f>+G18-G22</f>
        <v>0</v>
      </c>
      <c r="H29" s="2188">
        <f>+H18-H22</f>
        <v>0</v>
      </c>
      <c r="I29" s="2188">
        <f>+I18-I22</f>
        <v>0</v>
      </c>
    </row>
    <row r="30" spans="1:10">
      <c r="A30" s="854">
        <f t="shared" si="0"/>
        <v>11</v>
      </c>
      <c r="B30" s="862" t="s">
        <v>859</v>
      </c>
      <c r="C30" s="863" t="str">
        <f>"Line "&amp;A28&amp;" - Line "&amp;A29</f>
        <v>Line 9 - Line 10</v>
      </c>
      <c r="D30" s="863">
        <f t="shared" si="3"/>
        <v>-5324398.3</v>
      </c>
      <c r="E30" s="2182">
        <f>+E28-E29</f>
        <v>0</v>
      </c>
      <c r="F30" s="2182">
        <f>+F28-F29</f>
        <v>-7402433.9100000001</v>
      </c>
      <c r="G30" s="2182">
        <f t="shared" ref="G30:I30" si="4">+G28-G29</f>
        <v>2078035.61</v>
      </c>
      <c r="H30" s="2182">
        <f t="shared" si="4"/>
        <v>0</v>
      </c>
      <c r="I30" s="2182">
        <f t="shared" si="4"/>
        <v>0</v>
      </c>
    </row>
    <row r="31" spans="1:10">
      <c r="A31" s="854"/>
    </row>
    <row r="32" spans="1:10">
      <c r="A32" s="854"/>
    </row>
    <row r="33" spans="1:10">
      <c r="A33" s="854"/>
      <c r="E33" s="2303" t="s">
        <v>848</v>
      </c>
      <c r="F33" s="2303"/>
      <c r="G33" s="2303"/>
    </row>
    <row r="34" spans="1:10" ht="14">
      <c r="A34" s="854"/>
      <c r="B34" s="855" t="s">
        <v>855</v>
      </c>
      <c r="C34" s="856" t="s">
        <v>345</v>
      </c>
      <c r="D34" s="856" t="s">
        <v>258</v>
      </c>
      <c r="E34" s="867">
        <v>2821001</v>
      </c>
      <c r="F34" s="867" t="s">
        <v>851</v>
      </c>
      <c r="G34" s="867" t="s">
        <v>851</v>
      </c>
      <c r="H34" s="868"/>
      <c r="I34" s="868"/>
    </row>
    <row r="35" spans="1:10">
      <c r="A35" s="854"/>
      <c r="B35" s="1816" t="s">
        <v>1282</v>
      </c>
      <c r="C35" s="1817"/>
      <c r="D35" s="1817"/>
      <c r="E35" s="857" t="s">
        <v>1283</v>
      </c>
      <c r="F35" s="857"/>
      <c r="G35" s="857"/>
      <c r="H35" s="868"/>
      <c r="I35" s="868"/>
    </row>
    <row r="36" spans="1:10" ht="25">
      <c r="A36" s="854">
        <f>+A30+1</f>
        <v>12</v>
      </c>
      <c r="B36" s="858" t="s">
        <v>878</v>
      </c>
      <c r="C36" s="850" t="s">
        <v>854</v>
      </c>
      <c r="D36" s="850">
        <f t="shared" ref="D36:D47" si="5">+SUM(E36:I36)</f>
        <v>-85882308.136139795</v>
      </c>
      <c r="E36" s="2452">
        <v>-85882308.136139795</v>
      </c>
      <c r="F36" s="859"/>
      <c r="G36" s="859"/>
      <c r="H36"/>
      <c r="I36" s="868"/>
    </row>
    <row r="37" spans="1:10">
      <c r="A37" s="854">
        <f>+A36+1</f>
        <v>13</v>
      </c>
      <c r="B37" s="858" t="s">
        <v>850</v>
      </c>
      <c r="C37" s="850" t="s">
        <v>854</v>
      </c>
      <c r="D37" s="850">
        <f t="shared" si="5"/>
        <v>-721332.86034648982</v>
      </c>
      <c r="E37" s="2452">
        <v>-721332.86034648982</v>
      </c>
      <c r="F37" s="859"/>
      <c r="G37" s="859"/>
      <c r="H37"/>
      <c r="I37" s="868"/>
    </row>
    <row r="38" spans="1:10" ht="13.5" customHeight="1">
      <c r="A38" s="854">
        <f t="shared" si="0"/>
        <v>14</v>
      </c>
      <c r="B38" s="858" t="s">
        <v>869</v>
      </c>
      <c r="C38" s="850" t="s">
        <v>854</v>
      </c>
      <c r="D38" s="850">
        <f t="shared" si="5"/>
        <v>-3973534.7281835955</v>
      </c>
      <c r="E38" s="2452">
        <v>-3973534.7281835955</v>
      </c>
      <c r="F38" s="859"/>
      <c r="G38" s="859"/>
      <c r="H38"/>
      <c r="I38" s="868"/>
    </row>
    <row r="39" spans="1:10">
      <c r="A39" s="854">
        <f t="shared" si="0"/>
        <v>15</v>
      </c>
      <c r="B39" s="862" t="s">
        <v>870</v>
      </c>
      <c r="C39" s="863" t="str">
        <f>"Line "&amp;A37&amp;" + Line "&amp;A38</f>
        <v>Line 13 + Line 14</v>
      </c>
      <c r="D39" s="863">
        <f t="shared" si="5"/>
        <v>-4694867.588530085</v>
      </c>
      <c r="E39" s="864">
        <f>+E37+E38</f>
        <v>-4694867.588530085</v>
      </c>
      <c r="F39" s="864">
        <f>+F37+F38</f>
        <v>0</v>
      </c>
      <c r="G39" s="864"/>
      <c r="H39"/>
      <c r="I39" s="868"/>
    </row>
    <row r="40" spans="1:10">
      <c r="A40" s="854"/>
      <c r="B40" s="865"/>
      <c r="H40"/>
      <c r="I40" s="868"/>
    </row>
    <row r="41" spans="1:10">
      <c r="A41" s="854">
        <f>+A39+1</f>
        <v>16</v>
      </c>
      <c r="B41" s="858" t="s">
        <v>867</v>
      </c>
      <c r="C41" s="859" t="s">
        <v>866</v>
      </c>
      <c r="D41" s="840">
        <f t="shared" si="5"/>
        <v>-405735494.66000003</v>
      </c>
      <c r="E41" s="1813">
        <f>'SWEPCO WS C-2 ADIT BOY'!H11</f>
        <v>-405735494.66000003</v>
      </c>
      <c r="F41" s="866"/>
      <c r="G41" s="866"/>
      <c r="H41"/>
      <c r="I41" s="868"/>
      <c r="J41" s="868"/>
    </row>
    <row r="42" spans="1:10" ht="25">
      <c r="A42" s="854">
        <f t="shared" si="0"/>
        <v>17</v>
      </c>
      <c r="B42" s="1815" t="s">
        <v>862</v>
      </c>
      <c r="C42" s="850" t="str">
        <f>"Line "&amp;A36&amp;" - Line "&amp;A38</f>
        <v>Line 12 - Line 14</v>
      </c>
      <c r="D42" s="869">
        <f t="shared" si="5"/>
        <v>-81908773.407956198</v>
      </c>
      <c r="E42" s="866">
        <f>+E36-E38</f>
        <v>-81908773.407956198</v>
      </c>
      <c r="F42" s="866">
        <f>+F36-F38</f>
        <v>0</v>
      </c>
      <c r="G42" s="866">
        <f>+G36-G38</f>
        <v>0</v>
      </c>
      <c r="H42"/>
      <c r="I42" s="868"/>
      <c r="J42" s="868"/>
    </row>
    <row r="43" spans="1:10">
      <c r="A43" s="854">
        <f t="shared" si="0"/>
        <v>18</v>
      </c>
      <c r="B43" s="862" t="s">
        <v>864</v>
      </c>
      <c r="C43" s="863" t="str">
        <f>"Line "&amp;A41&amp;" - Line "&amp;A42</f>
        <v>Line 16 - Line 17</v>
      </c>
      <c r="D43" s="870">
        <f t="shared" si="5"/>
        <v>-323826721.25204384</v>
      </c>
      <c r="E43" s="864">
        <f>+E41-E42</f>
        <v>-323826721.25204384</v>
      </c>
      <c r="F43" s="864">
        <f>+F41-F42</f>
        <v>0</v>
      </c>
      <c r="G43" s="864">
        <f>+G41-G42</f>
        <v>0</v>
      </c>
      <c r="H43"/>
      <c r="I43" s="868"/>
      <c r="J43" s="868"/>
    </row>
    <row r="44" spans="1:10">
      <c r="A44" s="854"/>
      <c r="H44"/>
      <c r="I44" s="868"/>
      <c r="J44" s="868"/>
    </row>
    <row r="45" spans="1:10" ht="25">
      <c r="A45" s="854">
        <f>+A43+1</f>
        <v>19</v>
      </c>
      <c r="B45" s="858" t="s">
        <v>868</v>
      </c>
      <c r="C45" s="859" t="s">
        <v>858</v>
      </c>
      <c r="D45" s="840">
        <f t="shared" si="5"/>
        <v>-256074919.66</v>
      </c>
      <c r="E45" s="1814">
        <f>'SWEPCO WS C-1 ADIT EOY'!H11</f>
        <v>-256074919.66</v>
      </c>
      <c r="F45" s="840"/>
      <c r="G45" s="840"/>
      <c r="H45"/>
      <c r="I45" s="868"/>
      <c r="J45" s="868"/>
    </row>
    <row r="46" spans="1:10" ht="25">
      <c r="A46" s="854">
        <f t="shared" si="0"/>
        <v>20</v>
      </c>
      <c r="B46" s="858" t="s">
        <v>860</v>
      </c>
      <c r="C46" s="850" t="str">
        <f>"Line "&amp;A36&amp;" - Line "&amp;A39</f>
        <v>Line 12 - Line 15</v>
      </c>
      <c r="D46" s="869">
        <f t="shared" si="5"/>
        <v>-81187440.547609717</v>
      </c>
      <c r="E46" s="840">
        <f>+E36-E39</f>
        <v>-81187440.547609717</v>
      </c>
      <c r="F46" s="840">
        <f>+F36-F39</f>
        <v>0</v>
      </c>
      <c r="G46" s="840">
        <f>+G36-G39</f>
        <v>0</v>
      </c>
      <c r="H46"/>
      <c r="I46" s="868"/>
      <c r="J46" s="868"/>
    </row>
    <row r="47" spans="1:10">
      <c r="A47" s="854">
        <f t="shared" si="0"/>
        <v>21</v>
      </c>
      <c r="B47" s="862" t="s">
        <v>859</v>
      </c>
      <c r="C47" s="863" t="str">
        <f>"Line "&amp;A45&amp;" - Line "&amp;A46</f>
        <v>Line 19 - Line 20</v>
      </c>
      <c r="D47" s="870">
        <f t="shared" si="5"/>
        <v>-174887479.11239028</v>
      </c>
      <c r="E47" s="864">
        <f>+E45-E46</f>
        <v>-174887479.11239028</v>
      </c>
      <c r="F47" s="864">
        <f>+F45-F46</f>
        <v>0</v>
      </c>
      <c r="G47" s="864">
        <f>+G45-G46</f>
        <v>0</v>
      </c>
      <c r="H47" s="868"/>
      <c r="I47" s="868"/>
    </row>
    <row r="48" spans="1:10">
      <c r="A48" s="854"/>
      <c r="G48" s="868"/>
      <c r="H48" s="868"/>
      <c r="I48" s="868"/>
    </row>
    <row r="49" spans="1:8">
      <c r="A49" s="854"/>
    </row>
    <row r="50" spans="1:8" ht="14">
      <c r="A50" s="854"/>
      <c r="B50" s="855" t="s">
        <v>874</v>
      </c>
      <c r="D50" s="871" t="s">
        <v>845</v>
      </c>
    </row>
    <row r="51" spans="1:8">
      <c r="A51" s="854">
        <f>+A47+1</f>
        <v>22</v>
      </c>
      <c r="B51" s="838" t="s">
        <v>871</v>
      </c>
      <c r="C51" s="850" t="str">
        <f>"Line "&amp;A20</f>
        <v>Line 3</v>
      </c>
      <c r="D51" s="838">
        <f>+D20</f>
        <v>0</v>
      </c>
    </row>
    <row r="52" spans="1:8">
      <c r="A52" s="854">
        <f>+A51+1</f>
        <v>23</v>
      </c>
      <c r="B52" s="838" t="s">
        <v>872</v>
      </c>
      <c r="C52" s="850" t="str">
        <f>"Line "&amp;A37</f>
        <v>Line 13</v>
      </c>
      <c r="D52" s="838">
        <f>+D37</f>
        <v>-721332.86034648982</v>
      </c>
    </row>
    <row r="53" spans="1:8">
      <c r="A53" s="854">
        <f>+A52+1</f>
        <v>24</v>
      </c>
      <c r="B53" s="864" t="s">
        <v>873</v>
      </c>
      <c r="C53" s="863" t="str">
        <f>"Line "&amp;A51&amp;" + Line "&amp;A52</f>
        <v>Line 22 + Line 23</v>
      </c>
      <c r="D53" s="864">
        <f>+D51+D52</f>
        <v>-721332.86034648982</v>
      </c>
      <c r="E53" s="838" t="s">
        <v>1507</v>
      </c>
    </row>
    <row r="55" spans="1:8">
      <c r="A55"/>
      <c r="B55"/>
      <c r="C55"/>
      <c r="D55"/>
      <c r="E55"/>
      <c r="F55"/>
      <c r="G55"/>
      <c r="H55"/>
    </row>
    <row r="56" spans="1:8">
      <c r="A56"/>
      <c r="B56"/>
      <c r="C56"/>
      <c r="D56"/>
      <c r="E56"/>
      <c r="F56"/>
      <c r="G56"/>
      <c r="H56"/>
    </row>
    <row r="57" spans="1:8">
      <c r="A57"/>
      <c r="B57"/>
      <c r="C57"/>
      <c r="D57"/>
      <c r="E57"/>
      <c r="F57"/>
      <c r="G57"/>
      <c r="H57"/>
    </row>
    <row r="58" spans="1:8">
      <c r="A58"/>
      <c r="B58"/>
      <c r="C58"/>
      <c r="D58"/>
      <c r="E58"/>
      <c r="F58"/>
      <c r="G58"/>
      <c r="H58"/>
    </row>
    <row r="59" spans="1:8">
      <c r="A59"/>
      <c r="B59"/>
      <c r="C59"/>
      <c r="D59"/>
      <c r="E59"/>
      <c r="F59"/>
      <c r="G59"/>
      <c r="H59"/>
    </row>
    <row r="60" spans="1:8">
      <c r="A60"/>
      <c r="B60"/>
      <c r="C60"/>
      <c r="D60"/>
      <c r="E60"/>
      <c r="F60"/>
      <c r="G60"/>
      <c r="H60"/>
    </row>
    <row r="61" spans="1:8">
      <c r="A61"/>
      <c r="B61"/>
      <c r="C61"/>
      <c r="D61"/>
      <c r="E61"/>
      <c r="F61"/>
      <c r="G61"/>
      <c r="H61"/>
    </row>
    <row r="62" spans="1:8">
      <c r="A62"/>
      <c r="B62"/>
      <c r="C62"/>
      <c r="D62"/>
      <c r="E62"/>
      <c r="F62"/>
      <c r="G62"/>
      <c r="H62"/>
    </row>
    <row r="63" spans="1:8">
      <c r="A63"/>
      <c r="B63"/>
      <c r="C63"/>
      <c r="D63"/>
      <c r="E63"/>
      <c r="F63"/>
      <c r="G63"/>
      <c r="H63"/>
    </row>
    <row r="64" spans="1:8">
      <c r="A64"/>
      <c r="B64"/>
      <c r="C64"/>
      <c r="D64"/>
      <c r="E64"/>
      <c r="F64"/>
      <c r="G64"/>
      <c r="H64"/>
    </row>
    <row r="65" spans="1:8">
      <c r="A65"/>
      <c r="B65"/>
      <c r="C65"/>
      <c r="D65"/>
      <c r="E65"/>
      <c r="F65"/>
      <c r="G65"/>
      <c r="H65"/>
    </row>
    <row r="66" spans="1:8">
      <c r="A66"/>
      <c r="B66"/>
      <c r="C66"/>
      <c r="D66"/>
      <c r="E66"/>
      <c r="F66"/>
      <c r="G66"/>
      <c r="H66"/>
    </row>
    <row r="67" spans="1:8">
      <c r="A67"/>
      <c r="B67"/>
      <c r="C67"/>
      <c r="D67"/>
      <c r="E67"/>
      <c r="F67"/>
      <c r="G67"/>
      <c r="H67"/>
    </row>
  </sheetData>
  <mergeCells count="9">
    <mergeCell ref="E33:G33"/>
    <mergeCell ref="B3:I3"/>
    <mergeCell ref="B4:I4"/>
    <mergeCell ref="B5:I5"/>
    <mergeCell ref="B6:I6"/>
    <mergeCell ref="B9:I9"/>
    <mergeCell ref="E15:I15"/>
    <mergeCell ref="B11:I11"/>
    <mergeCell ref="B10:H10"/>
  </mergeCells>
  <pageMargins left="0.45" right="0.2" top="0.75" bottom="0.75" header="0.3" footer="0.3"/>
  <pageSetup scale="55" fitToHeight="0" orientation="portrait" r:id="rId1"/>
  <headerFooter>
    <oddHeader>&amp;RAEP - SPP Formula Rate
TCOS - WS C-4
Page: &amp;P of &amp;N</oddHeader>
  </headerFooter>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P127"/>
  <sheetViews>
    <sheetView workbookViewId="0">
      <selection activeCell="F22" sqref="F22"/>
    </sheetView>
  </sheetViews>
  <sheetFormatPr defaultColWidth="11.81640625" defaultRowHeight="13"/>
  <cols>
    <col min="1" max="1" width="9" style="2040" customWidth="1"/>
    <col min="2" max="2" width="15" style="2040" bestFit="1" customWidth="1"/>
    <col min="3" max="3" width="4.1796875" style="2040" customWidth="1"/>
    <col min="4" max="4" width="21" style="2040" bestFit="1" customWidth="1"/>
    <col min="5" max="5" width="32.54296875" style="2040" customWidth="1"/>
    <col min="6" max="6" width="21.453125" style="2040" customWidth="1"/>
    <col min="7" max="7" width="19" style="2040" customWidth="1"/>
    <col min="8" max="8" width="19.81640625" style="2040" customWidth="1"/>
    <col min="9" max="10" width="16.1796875" style="2040" customWidth="1"/>
    <col min="11" max="11" width="19.7265625" style="2040" customWidth="1"/>
    <col min="12" max="12" width="16" style="2040" customWidth="1"/>
    <col min="13" max="13" width="19.1796875" style="2040" bestFit="1" customWidth="1"/>
    <col min="14" max="14" width="16.54296875" style="2040" bestFit="1" customWidth="1"/>
    <col min="15" max="15" width="15.26953125" style="2040" bestFit="1" customWidth="1"/>
    <col min="16" max="16384" width="11.81640625" style="2040"/>
  </cols>
  <sheetData>
    <row r="1" spans="1:16" ht="15.5">
      <c r="A1" s="2040" t="s">
        <v>1465</v>
      </c>
      <c r="K1" s="2041"/>
      <c r="M1" s="2042"/>
    </row>
    <row r="2" spans="1:16">
      <c r="A2" s="2040" t="s">
        <v>567</v>
      </c>
      <c r="K2" s="2043"/>
      <c r="M2" s="2043"/>
    </row>
    <row r="3" spans="1:16">
      <c r="A3" s="2040" t="s">
        <v>1464</v>
      </c>
      <c r="M3" s="2043"/>
    </row>
    <row r="4" spans="1:16">
      <c r="A4" s="2040" t="s">
        <v>1508</v>
      </c>
      <c r="M4" s="2042"/>
    </row>
    <row r="5" spans="1:16">
      <c r="A5" s="2040" t="s">
        <v>1462</v>
      </c>
    </row>
    <row r="6" spans="1:16">
      <c r="A6" s="2040" t="s">
        <v>1291</v>
      </c>
    </row>
    <row r="7" spans="1:16">
      <c r="A7" s="2415"/>
      <c r="B7" s="2415"/>
      <c r="C7" s="2415"/>
      <c r="D7" s="2415"/>
      <c r="E7" s="2415"/>
      <c r="F7" s="2415"/>
      <c r="G7" s="2415"/>
      <c r="H7" s="2415"/>
      <c r="I7" s="2415"/>
      <c r="J7" s="2415"/>
      <c r="K7" s="2415"/>
      <c r="L7" s="2044"/>
      <c r="M7" s="2044"/>
    </row>
    <row r="9" spans="1:16">
      <c r="A9" s="2045" t="s">
        <v>287</v>
      </c>
      <c r="B9" s="2045" t="s">
        <v>288</v>
      </c>
      <c r="C9" s="2045"/>
      <c r="D9" s="2045" t="s">
        <v>289</v>
      </c>
      <c r="E9" s="2045" t="s">
        <v>290</v>
      </c>
      <c r="F9" s="2045" t="s">
        <v>291</v>
      </c>
      <c r="G9" s="2045" t="s">
        <v>1460</v>
      </c>
      <c r="H9" s="2045" t="s">
        <v>293</v>
      </c>
      <c r="I9" s="2045" t="s">
        <v>1459</v>
      </c>
      <c r="J9" s="2045" t="s">
        <v>295</v>
      </c>
      <c r="K9" s="2045" t="s">
        <v>1458</v>
      </c>
      <c r="L9" s="2045" t="s">
        <v>297</v>
      </c>
      <c r="M9" s="2045" t="s">
        <v>1457</v>
      </c>
      <c r="P9" s="2416"/>
    </row>
    <row r="10" spans="1:16">
      <c r="F10" s="2046"/>
      <c r="G10" s="2046"/>
      <c r="P10" s="2416"/>
    </row>
    <row r="11" spans="1:16" ht="26">
      <c r="A11" s="2040" t="s">
        <v>527</v>
      </c>
      <c r="B11" s="2040" t="s">
        <v>1456</v>
      </c>
      <c r="D11" s="2047" t="s">
        <v>1455</v>
      </c>
      <c r="E11" s="2045" t="s">
        <v>1454</v>
      </c>
      <c r="F11" s="2048" t="s">
        <v>1453</v>
      </c>
      <c r="G11" s="2048" t="s">
        <v>1452</v>
      </c>
      <c r="H11" s="2048" t="s">
        <v>1451</v>
      </c>
      <c r="I11" s="2049" t="s">
        <v>1450</v>
      </c>
      <c r="J11" s="2050" t="s">
        <v>1449</v>
      </c>
      <c r="K11" s="2048" t="s">
        <v>1448</v>
      </c>
      <c r="L11" s="2047" t="s">
        <v>1447</v>
      </c>
      <c r="M11" s="2047" t="s">
        <v>1446</v>
      </c>
    </row>
    <row r="12" spans="1:16">
      <c r="D12" s="2047"/>
      <c r="E12" s="2045"/>
      <c r="F12" s="2048"/>
      <c r="G12" s="2048"/>
      <c r="H12" s="2048"/>
      <c r="I12" s="2049"/>
      <c r="J12" s="2049"/>
      <c r="K12" s="2048"/>
      <c r="M12" s="2046"/>
    </row>
    <row r="13" spans="1:16">
      <c r="A13" s="2051" t="s">
        <v>1445</v>
      </c>
      <c r="D13" s="2047"/>
      <c r="E13" s="2045"/>
      <c r="F13" s="2048"/>
      <c r="G13" s="2048"/>
      <c r="H13" s="2048"/>
      <c r="I13" s="2049"/>
      <c r="J13" s="2049"/>
      <c r="K13" s="2048"/>
      <c r="M13" s="2046"/>
    </row>
    <row r="14" spans="1:16">
      <c r="A14" s="2040">
        <v>1</v>
      </c>
      <c r="B14" s="1947" t="s">
        <v>1444</v>
      </c>
      <c r="C14" s="2052"/>
      <c r="D14" s="2053">
        <v>143369811</v>
      </c>
      <c r="E14" s="1944" t="s">
        <v>1443</v>
      </c>
      <c r="F14" s="2052"/>
      <c r="G14" s="2052"/>
      <c r="H14" s="2054"/>
      <c r="I14" s="2049"/>
      <c r="J14" s="2049"/>
      <c r="K14" s="2049"/>
    </row>
    <row r="15" spans="1:16" ht="12.65" customHeight="1">
      <c r="A15" s="2045">
        <f>A14+1</f>
        <v>2</v>
      </c>
      <c r="B15" s="1947"/>
      <c r="C15" s="2052"/>
      <c r="D15" s="2055">
        <v>47528630.680000007</v>
      </c>
      <c r="E15" s="1944" t="s">
        <v>1434</v>
      </c>
      <c r="F15" s="2052"/>
      <c r="G15" s="2052"/>
      <c r="H15" s="2056"/>
      <c r="I15" s="2049"/>
      <c r="J15" s="2049"/>
      <c r="K15" s="2049"/>
    </row>
    <row r="16" spans="1:16">
      <c r="A16" s="2045">
        <f>+A15+1</f>
        <v>3</v>
      </c>
      <c r="B16" s="1947" t="s">
        <v>1430</v>
      </c>
      <c r="C16" s="2052"/>
      <c r="D16" s="2053">
        <f>+D14-D15</f>
        <v>95841180.319999993</v>
      </c>
      <c r="E16" s="2052"/>
      <c r="F16" s="1944">
        <v>38015424.550000004</v>
      </c>
      <c r="G16" s="2057">
        <f>+F16/D16</f>
        <v>0.39665021260247357</v>
      </c>
      <c r="H16" s="2040">
        <f>-F16</f>
        <v>-38015424.550000004</v>
      </c>
      <c r="I16" s="2049">
        <f>+H16+F16</f>
        <v>0</v>
      </c>
      <c r="J16" s="2049"/>
      <c r="K16" s="2049">
        <f>+I16+J16</f>
        <v>0</v>
      </c>
      <c r="M16" s="2040">
        <f>+D16-K16</f>
        <v>95841180.319999993</v>
      </c>
    </row>
    <row r="17" spans="1:15">
      <c r="A17" s="2045">
        <f>+A16+1</f>
        <v>4</v>
      </c>
      <c r="B17" s="1947"/>
      <c r="C17" s="2052"/>
      <c r="D17" s="1944"/>
      <c r="E17" s="1944"/>
      <c r="F17" s="1943"/>
      <c r="G17" s="2057"/>
      <c r="I17" s="2049"/>
      <c r="J17" s="2049"/>
      <c r="K17" s="2049"/>
    </row>
    <row r="18" spans="1:15">
      <c r="A18" s="2045">
        <f t="shared" ref="A18:A26" si="0">+A17+1</f>
        <v>5</v>
      </c>
      <c r="B18" s="1947" t="s">
        <v>1442</v>
      </c>
      <c r="C18" s="2052"/>
      <c r="D18" s="1944">
        <v>-67118483</v>
      </c>
      <c r="E18" s="1944" t="s">
        <v>1441</v>
      </c>
      <c r="F18" s="1942">
        <f>+D18*0.4</f>
        <v>-26847393.200000003</v>
      </c>
      <c r="G18" s="2057">
        <f>+F18/D18</f>
        <v>0.4</v>
      </c>
      <c r="I18" s="2049">
        <f>+F18+H18</f>
        <v>-26847393.200000003</v>
      </c>
      <c r="J18" s="2049"/>
      <c r="K18" s="2049"/>
    </row>
    <row r="19" spans="1:15">
      <c r="A19" s="2045">
        <f t="shared" si="0"/>
        <v>6</v>
      </c>
      <c r="B19" s="1947"/>
      <c r="C19" s="2052"/>
      <c r="D19" s="1944"/>
      <c r="E19" s="1944"/>
      <c r="F19" s="1942"/>
      <c r="G19" s="2058"/>
      <c r="I19" s="2049"/>
      <c r="J19" s="2049"/>
      <c r="K19" s="2049"/>
      <c r="M19" s="2040">
        <f>+D19-K19</f>
        <v>0</v>
      </c>
    </row>
    <row r="20" spans="1:15">
      <c r="A20" s="2045">
        <f t="shared" si="0"/>
        <v>7</v>
      </c>
      <c r="B20" s="1947" t="s">
        <v>1429</v>
      </c>
      <c r="C20" s="2052"/>
      <c r="D20" s="1944">
        <v>-1366840207</v>
      </c>
      <c r="E20" s="1944" t="s">
        <v>1440</v>
      </c>
      <c r="F20" s="2052"/>
      <c r="G20" s="2057"/>
      <c r="I20" s="2049"/>
      <c r="J20" s="2049"/>
      <c r="K20" s="2049"/>
    </row>
    <row r="21" spans="1:15">
      <c r="A21" s="2045">
        <f t="shared" si="0"/>
        <v>8</v>
      </c>
      <c r="B21" s="1947"/>
      <c r="C21" s="2052"/>
      <c r="D21" s="1950">
        <v>387222.41</v>
      </c>
      <c r="E21" s="1944" t="s">
        <v>1428</v>
      </c>
      <c r="F21" s="2052">
        <f>+D21</f>
        <v>387222.41</v>
      </c>
      <c r="G21" s="2057"/>
      <c r="I21" s="2049"/>
      <c r="J21" s="2049"/>
      <c r="K21" s="2049"/>
    </row>
    <row r="22" spans="1:15">
      <c r="A22" s="2045">
        <f t="shared" si="0"/>
        <v>9</v>
      </c>
      <c r="B22" s="1947"/>
      <c r="C22" s="2052"/>
      <c r="D22" s="1944">
        <f>+D20-D21</f>
        <v>-1367227429.4100001</v>
      </c>
      <c r="E22" s="1949" t="s">
        <v>1427</v>
      </c>
      <c r="F22" s="1950">
        <v>-546890971.95000005</v>
      </c>
      <c r="G22" s="2057">
        <f>+F22/D22</f>
        <v>0.40000000013604176</v>
      </c>
      <c r="I22" s="2049"/>
      <c r="J22" s="2049"/>
      <c r="K22" s="2049"/>
    </row>
    <row r="23" spans="1:15">
      <c r="A23" s="2045">
        <f t="shared" si="0"/>
        <v>10</v>
      </c>
      <c r="B23" s="1947"/>
      <c r="C23" s="2052"/>
      <c r="D23" s="1944"/>
      <c r="E23" s="1949" t="s">
        <v>1509</v>
      </c>
      <c r="F23" s="1935">
        <f>+F21+F22</f>
        <v>-546503749.54000008</v>
      </c>
      <c r="G23" s="2057"/>
      <c r="I23" s="2049"/>
      <c r="J23" s="2049"/>
      <c r="K23" s="2049"/>
    </row>
    <row r="24" spans="1:15">
      <c r="A24" s="2045">
        <f t="shared" si="0"/>
        <v>11</v>
      </c>
      <c r="B24" s="1947"/>
      <c r="C24" s="2052"/>
      <c r="D24" s="1944"/>
      <c r="E24" s="1944" t="s">
        <v>1425</v>
      </c>
      <c r="F24" s="1944">
        <v>-509888109</v>
      </c>
      <c r="G24" s="2057"/>
      <c r="I24" s="2049">
        <f>+F24</f>
        <v>-509888109</v>
      </c>
      <c r="J24" s="2049"/>
      <c r="K24" s="2049">
        <f>+I24+J24</f>
        <v>-509888109</v>
      </c>
      <c r="L24" s="2040" t="s">
        <v>872</v>
      </c>
      <c r="M24" s="2040">
        <f>+D22-K24-K25</f>
        <v>-832443340.95000005</v>
      </c>
    </row>
    <row r="25" spans="1:15">
      <c r="A25" s="2045">
        <f t="shared" si="0"/>
        <v>12</v>
      </c>
      <c r="B25" s="1947"/>
      <c r="C25" s="2052"/>
      <c r="D25" s="1944"/>
      <c r="E25" s="1944" t="s">
        <v>1424</v>
      </c>
      <c r="F25" s="1944">
        <v>-36615640.539999992</v>
      </c>
      <c r="G25" s="2057"/>
      <c r="I25" s="2049">
        <f>+F25</f>
        <v>-36615640.539999992</v>
      </c>
      <c r="J25" s="2040">
        <v>11719661.079999998</v>
      </c>
      <c r="K25" s="2049">
        <f>+I25+J25</f>
        <v>-24895979.459999993</v>
      </c>
      <c r="L25" s="2040" t="s">
        <v>871</v>
      </c>
    </row>
    <row r="26" spans="1:15">
      <c r="A26" s="2045">
        <f t="shared" si="0"/>
        <v>13</v>
      </c>
      <c r="B26" s="1947"/>
      <c r="C26" s="2052"/>
      <c r="D26" s="1944"/>
      <c r="E26" s="1944"/>
      <c r="F26" s="1942"/>
      <c r="G26" s="2058"/>
      <c r="I26" s="2049"/>
      <c r="J26" s="2049"/>
      <c r="K26" s="2049"/>
    </row>
    <row r="27" spans="1:15">
      <c r="A27" s="2045">
        <f>+A26+1</f>
        <v>14</v>
      </c>
      <c r="B27" s="1947" t="s">
        <v>1423</v>
      </c>
      <c r="C27" s="2052"/>
      <c r="D27" s="1944">
        <v>-72816095</v>
      </c>
      <c r="E27" s="1944" t="s">
        <v>1435</v>
      </c>
      <c r="F27" s="1944">
        <v>-29124067.140000004</v>
      </c>
      <c r="G27" s="2057">
        <f>+F27/D27</f>
        <v>0.39996744044019394</v>
      </c>
      <c r="H27" s="2040">
        <f>-H16</f>
        <v>38015424.550000004</v>
      </c>
      <c r="I27" s="2049">
        <f>+F27+H27</f>
        <v>8891357.4100000001</v>
      </c>
      <c r="J27" s="2040">
        <v>-16098030.430000003</v>
      </c>
      <c r="K27" s="2049">
        <f>+I27+J27</f>
        <v>-7206673.0200000033</v>
      </c>
      <c r="L27" s="2040" t="s">
        <v>871</v>
      </c>
      <c r="M27" s="2040">
        <f>+F27-K27</f>
        <v>-21917394.120000001</v>
      </c>
    </row>
    <row r="28" spans="1:15">
      <c r="A28" s="2045">
        <f>+A27+1</f>
        <v>15</v>
      </c>
      <c r="B28" s="2052"/>
      <c r="C28" s="2052"/>
      <c r="D28" s="2052"/>
      <c r="E28" s="1944"/>
      <c r="F28" s="1942"/>
      <c r="G28" s="2058"/>
      <c r="I28" s="2049"/>
      <c r="J28" s="2049"/>
      <c r="K28" s="2049"/>
    </row>
    <row r="29" spans="1:15" ht="15.75" customHeight="1">
      <c r="A29" s="2045">
        <f t="shared" ref="A29" si="1">+A28+1</f>
        <v>16</v>
      </c>
      <c r="B29" s="2052" t="s">
        <v>258</v>
      </c>
      <c r="C29" s="2052"/>
      <c r="D29" s="2059">
        <f>+D27+D20+D18+D16</f>
        <v>-1410933604.6800001</v>
      </c>
      <c r="E29" s="1944" t="s">
        <v>1510</v>
      </c>
      <c r="F29" s="1935">
        <f>+F16+F18+F24+F25+F27</f>
        <v>-564459785.32999992</v>
      </c>
      <c r="G29" s="2031"/>
      <c r="H29" s="1935">
        <f>SUM(H15:H27)</f>
        <v>0</v>
      </c>
      <c r="I29" s="1935">
        <f>SUM(I15:I27)</f>
        <v>-564459785.33000004</v>
      </c>
      <c r="J29" s="1935">
        <f>SUM(J15:J27)</f>
        <v>-4378369.3500000052</v>
      </c>
      <c r="K29" s="1935">
        <f>SUM(K15:K27)</f>
        <v>-541990761.48000002</v>
      </c>
      <c r="M29" s="1935">
        <f>SUM(M15:M27)</f>
        <v>-758519554.75000012</v>
      </c>
    </row>
    <row r="30" spans="1:15" ht="14.5">
      <c r="A30" s="2060"/>
      <c r="B30" s="2061"/>
      <c r="C30" s="2061"/>
      <c r="D30" s="2061"/>
      <c r="E30" s="2061"/>
      <c r="F30" s="2061"/>
      <c r="G30" s="2061"/>
      <c r="H30" s="2061"/>
      <c r="I30" s="2061"/>
      <c r="J30" s="2061"/>
      <c r="K30" s="2061"/>
      <c r="L30" s="2061"/>
      <c r="M30" s="2061"/>
      <c r="N30" s="2061"/>
      <c r="O30" s="2061"/>
    </row>
    <row r="31" spans="1:15" ht="14.5">
      <c r="A31" s="2060"/>
      <c r="B31" s="2061"/>
      <c r="C31" s="2061"/>
      <c r="D31" s="2061"/>
      <c r="E31" s="2061"/>
      <c r="F31" s="2061"/>
      <c r="G31" s="2061"/>
      <c r="H31" s="2061"/>
      <c r="I31" s="2061"/>
      <c r="J31" s="2061"/>
      <c r="K31" s="2061"/>
      <c r="L31" s="2061"/>
      <c r="M31" s="2061"/>
      <c r="N31" s="2061"/>
      <c r="O31" s="2061"/>
    </row>
    <row r="32" spans="1:15">
      <c r="A32" s="2045"/>
      <c r="F32" s="2049"/>
      <c r="G32" s="2062"/>
      <c r="H32" s="2049"/>
      <c r="I32" s="2049"/>
      <c r="J32" s="2049"/>
      <c r="K32" s="2049"/>
    </row>
    <row r="33" spans="1:13">
      <c r="A33" s="2063" t="s">
        <v>1431</v>
      </c>
      <c r="F33" s="2049"/>
      <c r="G33" s="2062"/>
      <c r="H33" s="2049"/>
      <c r="I33" s="2049"/>
      <c r="J33" s="2049"/>
      <c r="K33" s="2049"/>
    </row>
    <row r="34" spans="1:13">
      <c r="A34" s="2062"/>
      <c r="B34" s="2049"/>
      <c r="C34" s="2049"/>
      <c r="D34" s="2061"/>
      <c r="E34" s="2061"/>
      <c r="F34" s="2049"/>
      <c r="G34" s="2062"/>
      <c r="H34" s="2049"/>
      <c r="I34" s="2049"/>
      <c r="J34" s="2049"/>
      <c r="K34" s="2049"/>
      <c r="L34" s="2049"/>
    </row>
    <row r="35" spans="1:13">
      <c r="A35" s="2062">
        <f>+A29+1</f>
        <v>17</v>
      </c>
      <c r="B35" s="1947" t="s">
        <v>1430</v>
      </c>
      <c r="C35" s="2052"/>
      <c r="D35" s="1944">
        <v>3502431</v>
      </c>
      <c r="E35" s="1947" t="s">
        <v>678</v>
      </c>
      <c r="F35" s="1944">
        <v>1372963</v>
      </c>
      <c r="G35" s="1946">
        <f>+F35/D35</f>
        <v>0.39200286886451152</v>
      </c>
      <c r="H35" s="2049">
        <f>-F35</f>
        <v>-1372963</v>
      </c>
      <c r="I35" s="1945">
        <f>+++F35+H35</f>
        <v>0</v>
      </c>
      <c r="J35" s="1942">
        <v>0</v>
      </c>
      <c r="K35" s="2049">
        <f>+I35+J35</f>
        <v>0</v>
      </c>
      <c r="M35" s="2040">
        <f>+D35-K35</f>
        <v>3502431</v>
      </c>
    </row>
    <row r="36" spans="1:13">
      <c r="A36" s="2062">
        <f>+A35+1</f>
        <v>18</v>
      </c>
      <c r="B36" s="1947"/>
      <c r="C36" s="2052"/>
      <c r="D36" s="1944"/>
      <c r="E36" s="1944"/>
      <c r="F36" s="1944"/>
      <c r="G36" s="1946"/>
      <c r="H36" s="2049"/>
      <c r="I36" s="1943"/>
      <c r="J36" s="1942"/>
      <c r="K36" s="2049"/>
    </row>
    <row r="37" spans="1:13">
      <c r="A37" s="2062">
        <f t="shared" ref="A37:A46" si="2">+A36+1</f>
        <v>19</v>
      </c>
      <c r="B37" s="1947" t="s">
        <v>1429</v>
      </c>
      <c r="C37" s="2052"/>
      <c r="D37" s="1944">
        <v>-262082717</v>
      </c>
      <c r="E37" s="1947" t="s">
        <v>678</v>
      </c>
      <c r="F37" s="1944"/>
      <c r="G37" s="1946"/>
      <c r="H37" s="2049"/>
      <c r="I37" s="1943"/>
      <c r="J37" s="2052"/>
      <c r="K37" s="2049"/>
    </row>
    <row r="38" spans="1:13">
      <c r="A38" s="2062">
        <f t="shared" si="2"/>
        <v>20</v>
      </c>
      <c r="B38" s="1947"/>
      <c r="C38" s="2052"/>
      <c r="D38" s="1944">
        <v>-369161</v>
      </c>
      <c r="E38" s="1947" t="s">
        <v>678</v>
      </c>
      <c r="F38" s="1942">
        <v>-396161</v>
      </c>
      <c r="G38" s="1946"/>
      <c r="H38" s="2049"/>
      <c r="I38" s="1943"/>
      <c r="J38" s="1942"/>
      <c r="K38" s="2049"/>
    </row>
    <row r="39" spans="1:13">
      <c r="A39" s="2062">
        <f t="shared" si="2"/>
        <v>21</v>
      </c>
      <c r="B39" s="1947"/>
      <c r="C39" s="2052"/>
      <c r="D39" s="2059">
        <f>+D37-D38</f>
        <v>-261713556</v>
      </c>
      <c r="E39" s="1947" t="s">
        <v>1511</v>
      </c>
      <c r="F39" s="1942">
        <v>-104674622</v>
      </c>
      <c r="G39" s="1946">
        <f>+F39/D39</f>
        <v>0.39995873198100595</v>
      </c>
      <c r="H39" s="2049"/>
      <c r="I39" s="1945"/>
      <c r="J39" s="1942"/>
    </row>
    <row r="40" spans="1:13">
      <c r="A40" s="2062">
        <f t="shared" si="2"/>
        <v>22</v>
      </c>
      <c r="B40" s="1947"/>
      <c r="C40" s="2052"/>
      <c r="D40" s="1944"/>
      <c r="E40" s="1949" t="s">
        <v>1512</v>
      </c>
      <c r="F40" s="1935">
        <f>+F39+F38</f>
        <v>-105070783</v>
      </c>
      <c r="G40" s="1946"/>
      <c r="H40" s="2049"/>
      <c r="I40" s="1943"/>
      <c r="J40" s="1942"/>
      <c r="K40" s="2049"/>
    </row>
    <row r="41" spans="1:13">
      <c r="A41" s="2062">
        <f t="shared" si="2"/>
        <v>23</v>
      </c>
      <c r="B41" s="1947"/>
      <c r="C41" s="2052"/>
      <c r="D41" s="1944"/>
      <c r="E41" s="1944" t="s">
        <v>1425</v>
      </c>
      <c r="F41" s="1942">
        <v>-98275744</v>
      </c>
      <c r="G41" s="1946"/>
      <c r="H41" s="2049"/>
      <c r="I41" s="1945">
        <f>+F41+H41</f>
        <v>-98275744</v>
      </c>
      <c r="J41" s="2040">
        <f>-87485+5428005+422043-85327</f>
        <v>5677236</v>
      </c>
      <c r="K41" s="2049">
        <f>+I41+J41</f>
        <v>-92598508</v>
      </c>
      <c r="L41" s="2040" t="s">
        <v>872</v>
      </c>
      <c r="M41" s="2040">
        <f>+D39-K41-K42</f>
        <v>-157544463.23800001</v>
      </c>
    </row>
    <row r="42" spans="1:13">
      <c r="A42" s="2062">
        <f t="shared" si="2"/>
        <v>24</v>
      </c>
      <c r="B42" s="1947"/>
      <c r="C42" s="2052"/>
      <c r="D42" s="1944"/>
      <c r="E42" s="1944" t="s">
        <v>1424</v>
      </c>
      <c r="F42" s="1942">
        <v>-6795040</v>
      </c>
      <c r="G42" s="1946"/>
      <c r="H42" s="2049"/>
      <c r="I42" s="1945">
        <f>+F42+H42</f>
        <v>-6795040</v>
      </c>
      <c r="J42" s="2040">
        <v>-4775544.7620000001</v>
      </c>
      <c r="K42" s="2049">
        <f>+I42+J42</f>
        <v>-11570584.762</v>
      </c>
      <c r="L42" s="2040" t="s">
        <v>871</v>
      </c>
    </row>
    <row r="43" spans="1:13">
      <c r="A43" s="2062">
        <f t="shared" si="2"/>
        <v>25</v>
      </c>
      <c r="B43" s="1947"/>
      <c r="C43" s="2052"/>
      <c r="D43" s="1944"/>
      <c r="E43" s="1944"/>
      <c r="F43" s="1944"/>
      <c r="G43" s="1946"/>
      <c r="H43" s="2049"/>
      <c r="I43" s="1948"/>
      <c r="J43" s="1942"/>
      <c r="K43" s="2049"/>
    </row>
    <row r="44" spans="1:13">
      <c r="A44" s="2062">
        <f t="shared" si="2"/>
        <v>26</v>
      </c>
      <c r="B44" s="1947" t="s">
        <v>1423</v>
      </c>
      <c r="C44" s="2052"/>
      <c r="D44" s="1944">
        <v>-3544381</v>
      </c>
      <c r="E44" s="1947" t="s">
        <v>678</v>
      </c>
      <c r="F44" s="1944">
        <v>-1417752</v>
      </c>
      <c r="G44" s="1946">
        <f>+F44/D44</f>
        <v>0.39999988714531537</v>
      </c>
      <c r="H44" s="2049">
        <f>-H35</f>
        <v>1372963</v>
      </c>
      <c r="I44" s="1945">
        <f>+F44+H44</f>
        <v>-44789</v>
      </c>
      <c r="J44" s="1944">
        <v>-1117304.4680000006</v>
      </c>
      <c r="K44" s="2049">
        <f>+I44+J44</f>
        <v>-1162093.4680000006</v>
      </c>
      <c r="L44" s="2040" t="s">
        <v>871</v>
      </c>
      <c r="M44" s="2040">
        <f>+D44-K44</f>
        <v>-2382287.5319999997</v>
      </c>
    </row>
    <row r="45" spans="1:13">
      <c r="A45" s="2062">
        <f t="shared" si="2"/>
        <v>27</v>
      </c>
      <c r="B45" s="2052"/>
      <c r="C45" s="2052"/>
      <c r="D45" s="2064"/>
      <c r="E45" s="1944"/>
      <c r="F45" s="1943"/>
      <c r="G45" s="1943"/>
      <c r="H45" s="2049"/>
      <c r="I45" s="1943"/>
      <c r="J45" s="1942"/>
      <c r="K45" s="2049"/>
    </row>
    <row r="46" spans="1:13">
      <c r="A46" s="2062">
        <f t="shared" si="2"/>
        <v>28</v>
      </c>
      <c r="B46" s="2052" t="s">
        <v>258</v>
      </c>
      <c r="C46" s="2052"/>
      <c r="D46" s="2059">
        <f>+D44+D37+D35</f>
        <v>-262124667</v>
      </c>
      <c r="E46" s="1944" t="s">
        <v>1513</v>
      </c>
      <c r="F46" s="1935">
        <f>+F35+F41+F42+F44</f>
        <v>-105115573</v>
      </c>
      <c r="G46" s="1936"/>
      <c r="H46" s="1935">
        <f>SUM(H34:H44)</f>
        <v>0</v>
      </c>
      <c r="I46" s="1935">
        <f>SUM(I35:I44)</f>
        <v>-105115573</v>
      </c>
      <c r="J46" s="1935">
        <f>SUM(J35:J44)</f>
        <v>-215613.23000000068</v>
      </c>
      <c r="K46" s="1935">
        <f>SUM(K35:K44)</f>
        <v>-105331186.22999999</v>
      </c>
      <c r="M46" s="1935">
        <f>SUM(M35:M44)</f>
        <v>-156424319.77000001</v>
      </c>
    </row>
    <row r="47" spans="1:13">
      <c r="A47" s="2045"/>
      <c r="D47" s="2065"/>
      <c r="F47" s="2066"/>
      <c r="G47" s="2067"/>
      <c r="H47" s="2066"/>
      <c r="I47" s="2049"/>
      <c r="J47" s="2049"/>
      <c r="K47" s="2066"/>
    </row>
    <row r="48" spans="1:13">
      <c r="A48" s="2045"/>
      <c r="D48" s="2065"/>
      <c r="F48" s="2066"/>
      <c r="G48" s="2067"/>
      <c r="H48" s="2066"/>
      <c r="I48" s="2049"/>
      <c r="J48" s="2049"/>
      <c r="K48" s="2066"/>
    </row>
    <row r="49" spans="1:11" ht="12.75" customHeight="1">
      <c r="A49" s="2068" t="s">
        <v>1421</v>
      </c>
      <c r="B49" s="2068"/>
      <c r="C49" s="2068"/>
      <c r="D49" s="2068"/>
      <c r="E49" s="2068"/>
      <c r="F49" s="2068"/>
      <c r="G49" s="2068"/>
      <c r="H49" s="2049"/>
      <c r="I49" s="2049"/>
      <c r="J49" s="2049"/>
      <c r="K49" s="2049"/>
    </row>
    <row r="50" spans="1:11" ht="12.75" customHeight="1">
      <c r="B50" s="2417" t="s">
        <v>1420</v>
      </c>
      <c r="C50" s="2417"/>
      <c r="D50" s="2417"/>
      <c r="E50" s="2417"/>
      <c r="F50" s="2417"/>
      <c r="G50" s="2417"/>
      <c r="H50" s="2417"/>
      <c r="I50" s="2049"/>
      <c r="K50" s="2049"/>
    </row>
    <row r="51" spans="1:11">
      <c r="A51" s="2068"/>
      <c r="B51" s="2417"/>
      <c r="C51" s="2417"/>
      <c r="D51" s="2417"/>
      <c r="E51" s="2417"/>
      <c r="F51" s="2417"/>
      <c r="G51" s="2417"/>
      <c r="H51" s="2417"/>
      <c r="I51" s="2049"/>
      <c r="J51" s="2049"/>
      <c r="K51" s="2049"/>
    </row>
    <row r="52" spans="1:11">
      <c r="A52" s="2068"/>
      <c r="B52" s="2417"/>
      <c r="C52" s="2417"/>
      <c r="D52" s="2417"/>
      <c r="E52" s="2417"/>
      <c r="F52" s="2417"/>
      <c r="G52" s="2417"/>
      <c r="H52" s="2417"/>
      <c r="I52" s="2049"/>
      <c r="J52" s="2049"/>
      <c r="K52" s="2049"/>
    </row>
    <row r="53" spans="1:11">
      <c r="A53" s="2068"/>
      <c r="B53" s="2417"/>
      <c r="C53" s="2417"/>
      <c r="D53" s="2417"/>
      <c r="E53" s="2417"/>
      <c r="F53" s="2417"/>
      <c r="G53" s="2417"/>
      <c r="H53" s="2417"/>
      <c r="I53" s="2049"/>
      <c r="J53" s="2049"/>
      <c r="K53" s="2049"/>
    </row>
    <row r="54" spans="1:11">
      <c r="A54" s="2045"/>
      <c r="B54" s="2069"/>
      <c r="C54" s="2069"/>
      <c r="D54" s="2069"/>
      <c r="E54" s="2069"/>
      <c r="F54" s="2070"/>
      <c r="G54" s="2070"/>
      <c r="H54" s="2070"/>
      <c r="I54" s="2049"/>
      <c r="J54" s="2049"/>
      <c r="K54" s="2049"/>
    </row>
    <row r="55" spans="1:11">
      <c r="A55" s="2045" t="s">
        <v>1419</v>
      </c>
      <c r="B55" s="2069" t="s">
        <v>1418</v>
      </c>
      <c r="C55" s="2069"/>
      <c r="D55" s="2069"/>
      <c r="E55" s="2069"/>
      <c r="F55" s="2070"/>
      <c r="G55" s="2070"/>
      <c r="H55" s="2070"/>
      <c r="I55" s="2049"/>
      <c r="J55" s="2049"/>
      <c r="K55" s="2049"/>
    </row>
    <row r="56" spans="1:11">
      <c r="A56" s="2045"/>
      <c r="B56" s="2069"/>
      <c r="C56" s="2069"/>
      <c r="D56" s="2069"/>
      <c r="E56" s="2069"/>
      <c r="F56" s="2070"/>
      <c r="G56" s="2070"/>
      <c r="H56" s="2070"/>
      <c r="I56" s="2049"/>
      <c r="J56" s="2049"/>
      <c r="K56" s="2049"/>
    </row>
    <row r="57" spans="1:11">
      <c r="A57" s="2045"/>
      <c r="B57" s="2069"/>
      <c r="C57" s="2069"/>
      <c r="D57" s="2069"/>
      <c r="E57" s="2069"/>
      <c r="F57" s="2070"/>
      <c r="G57" s="2070"/>
      <c r="H57" s="2070"/>
      <c r="I57" s="2049"/>
      <c r="J57" s="2049"/>
      <c r="K57" s="2049"/>
    </row>
    <row r="58" spans="1:11">
      <c r="A58" s="2040" t="s">
        <v>1417</v>
      </c>
      <c r="B58" s="2418" t="s">
        <v>1416</v>
      </c>
      <c r="C58" s="2418"/>
      <c r="D58" s="2418"/>
      <c r="E58" s="2418"/>
      <c r="F58" s="2418"/>
      <c r="G58" s="2418"/>
      <c r="H58" s="2070"/>
      <c r="I58" s="2049"/>
      <c r="J58" s="2049"/>
      <c r="K58" s="2049"/>
    </row>
    <row r="59" spans="1:11">
      <c r="B59" s="2418"/>
      <c r="C59" s="2418"/>
      <c r="D59" s="2418"/>
      <c r="E59" s="2418"/>
      <c r="F59" s="2418"/>
      <c r="G59" s="2418"/>
      <c r="H59" s="2070"/>
      <c r="I59" s="2049"/>
      <c r="J59" s="2049"/>
      <c r="K59" s="2049"/>
    </row>
    <row r="60" spans="1:11">
      <c r="B60" s="2418"/>
      <c r="C60" s="2418"/>
      <c r="D60" s="2418"/>
      <c r="E60" s="2418"/>
      <c r="F60" s="2418"/>
      <c r="G60" s="2418"/>
      <c r="H60" s="2070"/>
      <c r="I60" s="2049"/>
      <c r="J60" s="2049"/>
      <c r="K60" s="2049"/>
    </row>
    <row r="61" spans="1:11">
      <c r="B61" s="2069"/>
      <c r="C61" s="2069"/>
      <c r="D61" s="2069"/>
      <c r="E61" s="2069"/>
      <c r="F61" s="2069"/>
      <c r="G61" s="2069"/>
      <c r="H61" s="2069"/>
    </row>
    <row r="62" spans="1:11" ht="15.65" customHeight="1">
      <c r="A62" s="2040" t="s">
        <v>1415</v>
      </c>
      <c r="B62" s="2419" t="s">
        <v>1514</v>
      </c>
      <c r="C62" s="2419"/>
      <c r="D62" s="2419"/>
      <c r="E62" s="2419"/>
      <c r="F62" s="2419"/>
      <c r="G62" s="2419"/>
      <c r="H62" s="2419"/>
    </row>
    <row r="63" spans="1:11" ht="12.65" customHeight="1">
      <c r="B63" s="2419"/>
      <c r="C63" s="2419"/>
      <c r="D63" s="2419"/>
      <c r="E63" s="2419"/>
      <c r="F63" s="2419"/>
      <c r="G63" s="2419"/>
      <c r="H63" s="2419"/>
    </row>
    <row r="64" spans="1:11" ht="12.65" customHeight="1">
      <c r="B64" s="2419"/>
      <c r="C64" s="2419"/>
      <c r="D64" s="2419"/>
      <c r="E64" s="2419"/>
      <c r="F64" s="2419"/>
      <c r="G64" s="2419"/>
      <c r="H64" s="2419"/>
    </row>
    <row r="65" spans="1:14" ht="12.65" customHeight="1">
      <c r="B65" s="2069"/>
      <c r="C65" s="2069"/>
      <c r="D65" s="2069"/>
      <c r="E65" s="2069"/>
      <c r="F65" s="2069"/>
      <c r="G65" s="2069"/>
      <c r="H65" s="2069"/>
    </row>
    <row r="66" spans="1:14" ht="12.65" customHeight="1">
      <c r="A66" s="2040" t="s">
        <v>1414</v>
      </c>
      <c r="B66" s="2420" t="s">
        <v>1413</v>
      </c>
      <c r="C66" s="2420"/>
      <c r="D66" s="2420"/>
      <c r="E66" s="2420"/>
      <c r="F66" s="2420"/>
      <c r="G66" s="2420"/>
    </row>
    <row r="67" spans="1:14" ht="15.5">
      <c r="A67" s="2071"/>
      <c r="B67" s="2420"/>
      <c r="C67" s="2420"/>
      <c r="D67" s="2420"/>
      <c r="E67" s="2420"/>
      <c r="F67" s="2420"/>
      <c r="G67" s="2420"/>
    </row>
    <row r="68" spans="1:14" ht="12.65" customHeight="1"/>
    <row r="69" spans="1:14" ht="12.75" customHeight="1">
      <c r="A69" s="2040" t="s">
        <v>1412</v>
      </c>
      <c r="B69" s="2413" t="s">
        <v>1515</v>
      </c>
      <c r="C69" s="2413"/>
      <c r="D69" s="2413"/>
      <c r="E69" s="2413"/>
      <c r="F69" s="2413"/>
    </row>
    <row r="70" spans="1:14">
      <c r="B70" s="2413"/>
      <c r="C70" s="2413"/>
      <c r="D70" s="2413"/>
      <c r="E70" s="2413"/>
      <c r="F70" s="2413"/>
    </row>
    <row r="72" spans="1:14" ht="12.75" customHeight="1">
      <c r="A72" s="2040" t="s">
        <v>1411</v>
      </c>
      <c r="B72" s="2414" t="s">
        <v>1410</v>
      </c>
      <c r="C72" s="2414"/>
      <c r="D72" s="2414"/>
      <c r="E72" s="2414"/>
      <c r="F72" s="2414"/>
      <c r="G72" s="2414"/>
      <c r="H72" s="2414"/>
    </row>
    <row r="73" spans="1:14">
      <c r="B73" s="2414"/>
      <c r="C73" s="2414"/>
      <c r="D73" s="2414"/>
      <c r="E73" s="2414"/>
      <c r="F73" s="2414"/>
      <c r="G73" s="2414"/>
      <c r="H73" s="2414"/>
    </row>
    <row r="74" spans="1:14">
      <c r="B74" s="2414"/>
      <c r="C74" s="2414"/>
      <c r="D74" s="2414"/>
      <c r="E74" s="2414"/>
      <c r="F74" s="2414"/>
      <c r="G74" s="2414"/>
      <c r="H74" s="2414"/>
    </row>
    <row r="75" spans="1:14">
      <c r="A75" s="2072" t="s">
        <v>1409</v>
      </c>
      <c r="B75" s="2414" t="s">
        <v>1516</v>
      </c>
      <c r="C75" s="2414"/>
      <c r="D75" s="2414"/>
      <c r="E75" s="2414"/>
      <c r="F75" s="2414"/>
      <c r="G75" s="2414"/>
      <c r="H75" s="2414"/>
      <c r="I75" s="2073"/>
      <c r="J75" s="2073"/>
      <c r="K75" s="2073"/>
    </row>
    <row r="76" spans="1:14" ht="13.5" customHeight="1">
      <c r="B76" s="2414"/>
      <c r="C76" s="2414"/>
      <c r="D76" s="2414"/>
      <c r="E76" s="2414"/>
      <c r="F76" s="2414"/>
      <c r="G76" s="2414"/>
      <c r="H76" s="2414"/>
      <c r="I76" s="2074"/>
      <c r="J76" s="2074"/>
      <c r="K76" s="2074"/>
    </row>
    <row r="77" spans="1:14">
      <c r="B77" s="2414"/>
      <c r="C77" s="2414"/>
      <c r="D77" s="2414"/>
      <c r="E77" s="2414"/>
      <c r="F77" s="2414"/>
      <c r="G77" s="2414"/>
      <c r="H77" s="2414"/>
    </row>
    <row r="79" spans="1:14" ht="15.5">
      <c r="A79" s="2071"/>
      <c r="B79" s="2071"/>
      <c r="C79" s="2071"/>
      <c r="D79" s="2071"/>
      <c r="E79" s="2071"/>
      <c r="F79" s="2071"/>
      <c r="G79" s="2071"/>
      <c r="H79" s="2071"/>
      <c r="I79" s="2071"/>
      <c r="J79" s="2071"/>
      <c r="K79" s="2071"/>
      <c r="L79" s="2071"/>
      <c r="M79" s="2071"/>
      <c r="N79" s="2071"/>
    </row>
    <row r="80" spans="1:14" ht="15.5">
      <c r="A80" s="2071"/>
      <c r="B80" s="2071"/>
      <c r="C80" s="2071"/>
      <c r="D80" s="2071"/>
      <c r="E80" s="2071"/>
      <c r="F80" s="2071"/>
      <c r="G80" s="2071"/>
      <c r="H80" s="2071"/>
      <c r="I80" s="2071"/>
      <c r="J80" s="2071"/>
      <c r="K80" s="2071"/>
      <c r="L80" s="2071"/>
      <c r="M80" s="2071"/>
      <c r="N80" s="2071"/>
    </row>
    <row r="81" spans="1:14" ht="15.5">
      <c r="A81" s="2071"/>
      <c r="B81" s="2071"/>
      <c r="C81" s="2071"/>
      <c r="D81" s="2071"/>
      <c r="E81" s="2071"/>
      <c r="F81" s="2071"/>
      <c r="G81" s="2071"/>
      <c r="H81" s="2071"/>
      <c r="I81" s="2071"/>
      <c r="J81" s="2071"/>
      <c r="K81" s="2071"/>
      <c r="L81" s="2071"/>
      <c r="M81" s="2071"/>
      <c r="N81" s="2071"/>
    </row>
    <row r="82" spans="1:14" ht="15.5">
      <c r="A82" s="2071"/>
      <c r="B82" s="2071"/>
      <c r="C82" s="2071"/>
      <c r="D82" s="2071"/>
      <c r="E82" s="2071"/>
      <c r="F82" s="2071"/>
      <c r="G82" s="2071"/>
      <c r="H82" s="2071"/>
      <c r="I82" s="2071"/>
      <c r="J82" s="2071"/>
      <c r="K82" s="2071"/>
      <c r="L82" s="2071"/>
      <c r="M82" s="2071"/>
      <c r="N82" s="2071"/>
    </row>
    <row r="83" spans="1:14" ht="15.5">
      <c r="A83" s="2071"/>
      <c r="B83" s="2071"/>
      <c r="C83" s="2071"/>
      <c r="D83" s="2071"/>
      <c r="E83" s="2071"/>
      <c r="F83" s="2071"/>
      <c r="G83" s="2071"/>
      <c r="H83" s="2071"/>
      <c r="I83" s="2071"/>
      <c r="J83" s="2071"/>
      <c r="K83" s="2071"/>
      <c r="L83" s="2071"/>
      <c r="M83" s="2071"/>
      <c r="N83" s="2071"/>
    </row>
    <row r="84" spans="1:14" ht="15.5">
      <c r="A84" s="2071"/>
      <c r="B84" s="2071"/>
      <c r="C84" s="2071"/>
      <c r="D84" s="2071"/>
      <c r="E84" s="2071"/>
      <c r="F84" s="2071"/>
      <c r="G84" s="2071"/>
      <c r="H84" s="2071"/>
      <c r="I84" s="2071"/>
      <c r="J84" s="2071"/>
      <c r="K84" s="2071"/>
      <c r="L84" s="2071"/>
      <c r="M84" s="2071"/>
      <c r="N84" s="2071"/>
    </row>
    <row r="85" spans="1:14" ht="15.5">
      <c r="A85" s="2071"/>
      <c r="B85" s="2071"/>
      <c r="C85" s="2071"/>
      <c r="D85" s="2071"/>
      <c r="E85" s="2071"/>
      <c r="F85" s="2071"/>
      <c r="G85" s="2071"/>
      <c r="H85" s="2071"/>
      <c r="I85" s="2071"/>
      <c r="J85" s="2071"/>
      <c r="K85" s="2071"/>
      <c r="L85" s="2071"/>
      <c r="M85" s="2071"/>
      <c r="N85" s="2071"/>
    </row>
    <row r="86" spans="1:14" ht="15.5">
      <c r="A86" s="2071"/>
      <c r="B86" s="2071"/>
      <c r="C86" s="2071"/>
      <c r="D86" s="2071"/>
      <c r="E86" s="2071"/>
      <c r="F86" s="2071"/>
      <c r="G86" s="2071"/>
      <c r="H86" s="2071"/>
      <c r="I86" s="2071"/>
      <c r="J86" s="2071"/>
      <c r="K86" s="2071"/>
      <c r="L86" s="2071"/>
      <c r="M86" s="2071"/>
      <c r="N86" s="2071"/>
    </row>
    <row r="87" spans="1:14" ht="15.5">
      <c r="A87" s="2071"/>
      <c r="B87" s="2071"/>
      <c r="C87" s="2071"/>
      <c r="D87" s="2071"/>
      <c r="E87" s="2071"/>
      <c r="F87" s="2071"/>
      <c r="G87" s="2071"/>
      <c r="H87" s="2071"/>
      <c r="I87" s="2071"/>
      <c r="J87" s="2071"/>
      <c r="K87" s="2071"/>
      <c r="L87" s="2071"/>
      <c r="M87" s="2071"/>
      <c r="N87" s="2071"/>
    </row>
    <row r="88" spans="1:14" ht="15.5">
      <c r="A88" s="2071"/>
      <c r="B88" s="2071"/>
      <c r="C88" s="2071"/>
      <c r="D88" s="2071"/>
      <c r="E88" s="2071"/>
      <c r="F88" s="2071"/>
      <c r="G88" s="2071"/>
      <c r="H88" s="2071"/>
      <c r="I88" s="2071"/>
      <c r="J88" s="2071"/>
      <c r="K88" s="2071"/>
      <c r="L88" s="2071"/>
      <c r="M88" s="2071"/>
      <c r="N88" s="2071"/>
    </row>
    <row r="89" spans="1:14" ht="15.5">
      <c r="A89" s="2071"/>
      <c r="B89" s="2071"/>
      <c r="C89" s="2071"/>
      <c r="D89" s="2071"/>
      <c r="E89" s="2071"/>
      <c r="F89" s="2071"/>
      <c r="G89" s="2071"/>
      <c r="H89" s="2071"/>
      <c r="I89" s="2071"/>
      <c r="J89" s="2071"/>
      <c r="K89" s="2071"/>
      <c r="L89" s="2071"/>
      <c r="M89" s="2071"/>
      <c r="N89" s="2071"/>
    </row>
    <row r="90" spans="1:14" ht="15.5">
      <c r="A90" s="2071"/>
      <c r="B90" s="2071"/>
      <c r="C90" s="2071"/>
      <c r="D90" s="2071"/>
      <c r="E90" s="2071"/>
      <c r="F90" s="2071"/>
      <c r="G90" s="2071"/>
      <c r="H90" s="2071"/>
      <c r="I90" s="2071"/>
      <c r="J90" s="2071"/>
      <c r="K90" s="2071"/>
      <c r="L90" s="2071"/>
      <c r="M90" s="2071"/>
      <c r="N90" s="2071"/>
    </row>
    <row r="91" spans="1:14" ht="15.5">
      <c r="A91" s="2071"/>
      <c r="B91" s="2071"/>
      <c r="C91" s="2071"/>
      <c r="D91" s="2071"/>
      <c r="E91" s="2071"/>
      <c r="F91" s="2071"/>
      <c r="G91" s="2071"/>
      <c r="H91" s="2071"/>
      <c r="I91" s="2071"/>
      <c r="J91" s="2071"/>
      <c r="K91" s="2071"/>
      <c r="L91" s="2071"/>
      <c r="M91" s="2071"/>
      <c r="N91" s="2071"/>
    </row>
    <row r="127" spans="11:11">
      <c r="K127" s="2040">
        <v>5</v>
      </c>
    </row>
  </sheetData>
  <mergeCells count="9">
    <mergeCell ref="B69:F70"/>
    <mergeCell ref="B72:H74"/>
    <mergeCell ref="B75:H77"/>
    <mergeCell ref="A7:K7"/>
    <mergeCell ref="P9:P10"/>
    <mergeCell ref="B50:H53"/>
    <mergeCell ref="B58:G60"/>
    <mergeCell ref="B62:H64"/>
    <mergeCell ref="B66:G67"/>
  </mergeCells>
  <pageMargins left="0.7" right="0.7" top="0.75" bottom="0.75" header="0.3" footer="0.3"/>
  <pageSetup scale="30"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X119"/>
  <sheetViews>
    <sheetView topLeftCell="A9" zoomScale="70" zoomScaleNormal="70" workbookViewId="0">
      <selection activeCell="F17" sqref="F17"/>
    </sheetView>
  </sheetViews>
  <sheetFormatPr defaultColWidth="9.54296875" defaultRowHeight="11.5"/>
  <cols>
    <col min="1" max="1" width="9" style="1828" customWidth="1"/>
    <col min="2" max="2" width="14.81640625" style="1894" customWidth="1"/>
    <col min="3" max="3" width="33.7265625" style="1828" customWidth="1"/>
    <col min="4" max="4" width="12.26953125" style="1828" customWidth="1"/>
    <col min="5" max="5" width="9.81640625" style="1828" customWidth="1"/>
    <col min="6" max="6" width="15.7265625" style="1828" customWidth="1"/>
    <col min="7" max="7" width="14.81640625" style="1828" customWidth="1"/>
    <col min="8" max="8" width="13.54296875" style="1828" bestFit="1" customWidth="1"/>
    <col min="9" max="9" width="17.81640625" style="1828" customWidth="1"/>
    <col min="10" max="10" width="14.7265625" style="1828" customWidth="1"/>
    <col min="11" max="11" width="15.26953125" style="1828" customWidth="1"/>
    <col min="12" max="13" width="14.26953125" style="1828" customWidth="1"/>
    <col min="14" max="14" width="13.453125" style="1828" bestFit="1" customWidth="1"/>
    <col min="15" max="15" width="14.26953125" style="1828" customWidth="1"/>
    <col min="16" max="17" width="16.7265625" style="1828" customWidth="1"/>
    <col min="18" max="18" width="31.26953125" style="1828" customWidth="1"/>
    <col min="19" max="19" width="14.26953125" style="1828" customWidth="1"/>
    <col min="20" max="21" width="13.81640625" style="1828" bestFit="1" customWidth="1"/>
    <col min="22" max="22" width="13.26953125" style="1828" bestFit="1" customWidth="1"/>
    <col min="23" max="16384" width="9.54296875" style="1828"/>
  </cols>
  <sheetData>
    <row r="1" spans="1:23" ht="15.5">
      <c r="A1" s="1830" t="s">
        <v>1292</v>
      </c>
      <c r="R1" s="1831"/>
    </row>
    <row r="2" spans="1:23" ht="15.5">
      <c r="A2" s="1828" t="s">
        <v>1288</v>
      </c>
      <c r="R2" s="1831"/>
      <c r="V2" s="1905"/>
    </row>
    <row r="3" spans="1:23" ht="12.5">
      <c r="A3" s="1828" t="s">
        <v>1289</v>
      </c>
      <c r="R3" s="1906"/>
      <c r="V3" s="1834"/>
    </row>
    <row r="4" spans="1:23" ht="15.5">
      <c r="A4" s="1828" t="s">
        <v>1290</v>
      </c>
      <c r="J4" s="1835"/>
      <c r="R4" s="1906"/>
      <c r="V4" s="1834"/>
    </row>
    <row r="5" spans="1:23" ht="15.5">
      <c r="A5" s="1828" t="s">
        <v>1291</v>
      </c>
      <c r="G5" s="1836"/>
      <c r="J5" s="1835"/>
    </row>
    <row r="6" spans="1:23" ht="15.5">
      <c r="I6" s="1907"/>
      <c r="J6" s="1835"/>
      <c r="P6" s="1907"/>
      <c r="Q6" s="1907"/>
    </row>
    <row r="7" spans="1:23">
      <c r="B7" s="1838"/>
      <c r="C7" s="1838"/>
      <c r="D7" s="1838"/>
      <c r="E7" s="1838"/>
      <c r="F7" s="1838"/>
      <c r="G7" s="1838"/>
      <c r="H7" s="1838"/>
      <c r="I7" s="1838"/>
      <c r="J7" s="1838"/>
      <c r="K7" s="1838"/>
      <c r="L7" s="1838"/>
      <c r="M7" s="1838"/>
      <c r="N7" s="1838"/>
      <c r="O7" s="1838"/>
      <c r="P7" s="1838"/>
      <c r="Q7" s="1894"/>
    </row>
    <row r="8" spans="1:23">
      <c r="A8" s="1894" t="s">
        <v>287</v>
      </c>
      <c r="B8" s="1894" t="s">
        <v>288</v>
      </c>
      <c r="C8" s="1894" t="s">
        <v>289</v>
      </c>
      <c r="D8" s="1894" t="s">
        <v>290</v>
      </c>
      <c r="E8" s="1894" t="s">
        <v>291</v>
      </c>
      <c r="F8" s="1894" t="s">
        <v>292</v>
      </c>
      <c r="G8" s="1894" t="s">
        <v>293</v>
      </c>
      <c r="H8" s="1894" t="s">
        <v>294</v>
      </c>
      <c r="I8" s="1894" t="s">
        <v>1293</v>
      </c>
      <c r="J8" s="1894" t="s">
        <v>1294</v>
      </c>
      <c r="K8" s="1894" t="s">
        <v>297</v>
      </c>
      <c r="L8" s="1894" t="s">
        <v>298</v>
      </c>
      <c r="M8" s="1894" t="s">
        <v>299</v>
      </c>
      <c r="N8" s="1894" t="s">
        <v>367</v>
      </c>
      <c r="O8" s="1894" t="s">
        <v>388</v>
      </c>
      <c r="P8" s="1894" t="s">
        <v>11</v>
      </c>
      <c r="Q8" s="1894" t="s">
        <v>12</v>
      </c>
      <c r="R8" s="1894" t="s">
        <v>13</v>
      </c>
    </row>
    <row r="9" spans="1:23" ht="14.5" customHeight="1">
      <c r="A9" s="1908" t="s">
        <v>1295</v>
      </c>
      <c r="B9" s="1835"/>
      <c r="C9" s="1835"/>
      <c r="D9" s="1835"/>
      <c r="E9" s="1835"/>
      <c r="I9" s="2421" t="s">
        <v>1634</v>
      </c>
      <c r="J9" s="2421"/>
      <c r="K9" s="2312" t="s">
        <v>1296</v>
      </c>
      <c r="L9" s="2312"/>
      <c r="M9" s="2312"/>
      <c r="N9" s="2422" t="s">
        <v>1297</v>
      </c>
      <c r="O9" s="2422"/>
      <c r="P9" s="2421" t="s">
        <v>1635</v>
      </c>
      <c r="Q9" s="2421"/>
    </row>
    <row r="10" spans="1:23" ht="57.5">
      <c r="A10" s="1840" t="s">
        <v>1298</v>
      </c>
      <c r="B10" s="1841" t="s">
        <v>1299</v>
      </c>
      <c r="C10" s="1841" t="s">
        <v>1300</v>
      </c>
      <c r="D10" s="1842" t="s">
        <v>1301</v>
      </c>
      <c r="E10" s="1842" t="s">
        <v>1284</v>
      </c>
      <c r="F10" s="1842" t="s">
        <v>1302</v>
      </c>
      <c r="G10" s="1842" t="s">
        <v>1303</v>
      </c>
      <c r="H10" s="1842" t="s">
        <v>1304</v>
      </c>
      <c r="I10" s="1843" t="s">
        <v>1305</v>
      </c>
      <c r="J10" s="1843" t="s">
        <v>1306</v>
      </c>
      <c r="K10" s="1842" t="s">
        <v>1307</v>
      </c>
      <c r="L10" s="1842">
        <v>182.3</v>
      </c>
      <c r="M10" s="1842">
        <v>254</v>
      </c>
      <c r="N10" s="1842" t="s">
        <v>1505</v>
      </c>
      <c r="O10" s="1842" t="s">
        <v>1308</v>
      </c>
      <c r="P10" s="1843" t="s">
        <v>1305</v>
      </c>
      <c r="Q10" s="1843" t="s">
        <v>1306</v>
      </c>
      <c r="R10" s="1909" t="s">
        <v>1309</v>
      </c>
    </row>
    <row r="11" spans="1:23">
      <c r="B11" s="1828"/>
      <c r="D11" s="1910"/>
      <c r="E11" s="1910"/>
      <c r="F11" s="1910"/>
      <c r="G11" s="1910"/>
      <c r="H11" s="1910"/>
      <c r="I11" s="1910"/>
      <c r="J11" s="1910"/>
      <c r="K11" s="1910"/>
      <c r="L11" s="1910"/>
      <c r="M11" s="1910"/>
      <c r="N11" s="1910"/>
      <c r="O11" s="1910"/>
      <c r="P11" s="2423" t="s">
        <v>1310</v>
      </c>
      <c r="Q11" s="2423"/>
      <c r="R11" s="1909"/>
    </row>
    <row r="12" spans="1:23" ht="15.5">
      <c r="B12" s="1911" t="s">
        <v>1311</v>
      </c>
      <c r="C12" s="1912"/>
      <c r="D12" s="1912"/>
      <c r="E12" s="1912"/>
      <c r="F12" s="1912"/>
      <c r="G12" s="1912"/>
      <c r="H12" s="1912"/>
      <c r="I12" s="1912"/>
      <c r="J12" s="1912"/>
      <c r="K12" s="1912"/>
      <c r="L12" s="1912"/>
      <c r="M12" s="1912"/>
      <c r="N12" s="1912"/>
      <c r="O12" s="1912"/>
      <c r="P12" s="1912"/>
      <c r="Q12" s="1912"/>
      <c r="R12" s="1834"/>
      <c r="S12" s="1282"/>
      <c r="T12" s="1835"/>
      <c r="U12" s="1835"/>
      <c r="V12" s="1835"/>
      <c r="W12" s="1834"/>
    </row>
    <row r="13" spans="1:23" ht="15.5">
      <c r="A13" s="1828" t="s">
        <v>1312</v>
      </c>
      <c r="B13" s="1913" t="s">
        <v>1313</v>
      </c>
      <c r="C13" s="1828" t="s">
        <v>1314</v>
      </c>
      <c r="D13" s="1828" t="s">
        <v>16</v>
      </c>
      <c r="E13" s="1828" t="s">
        <v>1315</v>
      </c>
      <c r="F13" s="1894"/>
      <c r="I13" s="1849">
        <v>140374077.8688989</v>
      </c>
      <c r="J13" s="1850" t="s">
        <v>254</v>
      </c>
      <c r="K13" s="1849"/>
      <c r="L13" s="1849"/>
      <c r="M13" s="1849">
        <v>-51722350.213555038</v>
      </c>
      <c r="N13" s="2167"/>
      <c r="O13" s="2167"/>
      <c r="P13" s="2088">
        <f>SUM(I13:O13)</f>
        <v>88651727.65534386</v>
      </c>
      <c r="Q13" s="1851" t="s">
        <v>254</v>
      </c>
      <c r="R13" s="1852" t="s">
        <v>678</v>
      </c>
      <c r="S13" s="1282"/>
      <c r="T13" s="1835"/>
      <c r="U13" s="1835"/>
      <c r="V13" s="1835"/>
      <c r="W13" s="1834"/>
    </row>
    <row r="14" spans="1:23" ht="15.5">
      <c r="A14" s="1828" t="s">
        <v>1316</v>
      </c>
      <c r="B14" s="1913" t="s">
        <v>1317</v>
      </c>
      <c r="C14" s="1838" t="s">
        <v>1318</v>
      </c>
      <c r="D14" s="1838" t="s">
        <v>872</v>
      </c>
      <c r="E14" s="1828" t="s">
        <v>1315</v>
      </c>
      <c r="F14" s="1914">
        <f>+'SWEPCO WS C-5-A'!I18</f>
        <v>-26847393.200000003</v>
      </c>
      <c r="G14" s="1908" t="s">
        <v>1319</v>
      </c>
      <c r="H14" s="1908" t="s">
        <v>1320</v>
      </c>
      <c r="I14" s="1850"/>
      <c r="J14" s="1852">
        <v>-25013068.690159567</v>
      </c>
      <c r="K14" s="1854"/>
      <c r="L14" s="1854"/>
      <c r="M14" s="1854"/>
      <c r="N14" s="2168">
        <v>1123155.1052136014</v>
      </c>
      <c r="O14" s="2168">
        <v>0</v>
      </c>
      <c r="P14" s="1851"/>
      <c r="Q14" s="2088">
        <f>SUM(J14:O14)</f>
        <v>-23889913.584945966</v>
      </c>
      <c r="R14" s="1852" t="s">
        <v>678</v>
      </c>
      <c r="S14" s="1282"/>
      <c r="T14" s="1835"/>
      <c r="U14" s="1835"/>
      <c r="V14" s="1835"/>
      <c r="W14" s="1834"/>
    </row>
    <row r="15" spans="1:23" ht="15.5">
      <c r="A15" s="1828" t="s">
        <v>1321</v>
      </c>
      <c r="B15" s="1913" t="s">
        <v>1322</v>
      </c>
      <c r="C15" s="1838" t="s">
        <v>1323</v>
      </c>
      <c r="D15" s="1838" t="s">
        <v>872</v>
      </c>
      <c r="E15" s="1828" t="s">
        <v>1315</v>
      </c>
      <c r="F15" s="1894"/>
      <c r="I15" s="1852">
        <v>25013068.690159567</v>
      </c>
      <c r="J15" s="1851"/>
      <c r="K15" s="1854"/>
      <c r="L15" s="1854"/>
      <c r="M15" s="1854">
        <v>-1123155.1052136014</v>
      </c>
      <c r="N15" s="2168"/>
      <c r="O15" s="2168"/>
      <c r="P15" s="2088">
        <f>SUM(I15:O15)</f>
        <v>23889913.584945966</v>
      </c>
      <c r="Q15" s="1851"/>
      <c r="R15" s="1852" t="s">
        <v>678</v>
      </c>
      <c r="S15" s="1282"/>
      <c r="T15" s="1835"/>
      <c r="U15" s="1835"/>
      <c r="V15" s="1835"/>
      <c r="W15" s="1834"/>
    </row>
    <row r="16" spans="1:23" ht="23">
      <c r="A16" s="1828" t="s">
        <v>1324</v>
      </c>
      <c r="B16" s="1913" t="s">
        <v>1325</v>
      </c>
      <c r="C16" s="1828" t="s">
        <v>1326</v>
      </c>
      <c r="D16" s="1828" t="s">
        <v>872</v>
      </c>
      <c r="E16" s="1828" t="s">
        <v>1315</v>
      </c>
      <c r="F16" s="1914">
        <f>+'SWEPCO WS C-5-A'!I24</f>
        <v>-509888109</v>
      </c>
      <c r="G16" s="1908" t="s">
        <v>1319</v>
      </c>
      <c r="H16" s="1908" t="s">
        <v>1320</v>
      </c>
      <c r="I16" s="1851" t="s">
        <v>254</v>
      </c>
      <c r="J16" s="1855">
        <v>-405780365.70059377</v>
      </c>
      <c r="K16" s="1855"/>
      <c r="L16" s="1855"/>
      <c r="M16" s="1855"/>
      <c r="N16" s="2169">
        <v>149660574.67536429</v>
      </c>
      <c r="O16" s="2169">
        <v>0</v>
      </c>
      <c r="P16" s="1851" t="s">
        <v>254</v>
      </c>
      <c r="Q16" s="2088">
        <f>SUM(J16:O16)</f>
        <v>-256119791.02522948</v>
      </c>
      <c r="R16" s="1856" t="s">
        <v>1327</v>
      </c>
      <c r="S16" s="1282"/>
      <c r="T16" s="1835"/>
      <c r="U16" s="1835"/>
      <c r="V16" s="1835"/>
      <c r="W16" s="1834"/>
    </row>
    <row r="17" spans="1:23" ht="23">
      <c r="A17" s="1828" t="s">
        <v>1328</v>
      </c>
      <c r="B17" s="1913" t="s">
        <v>1325</v>
      </c>
      <c r="C17" s="1828" t="s">
        <v>1326</v>
      </c>
      <c r="D17" s="1828" t="s">
        <v>871</v>
      </c>
      <c r="E17" s="1828" t="s">
        <v>1315</v>
      </c>
      <c r="F17" s="1923">
        <f>+'SWEPCO WS C-5-A'!I25</f>
        <v>-36615640.539999992</v>
      </c>
      <c r="G17" s="1908" t="s">
        <v>1365</v>
      </c>
      <c r="H17" s="1908" t="s">
        <v>1366</v>
      </c>
      <c r="I17" s="1851"/>
      <c r="J17" s="1855">
        <v>-7357565.6161683844</v>
      </c>
      <c r="K17" s="1854"/>
      <c r="L17" s="1854"/>
      <c r="M17" s="1854"/>
      <c r="N17" s="2168">
        <v>0</v>
      </c>
      <c r="O17" s="2168">
        <v>0</v>
      </c>
      <c r="P17" s="1851"/>
      <c r="Q17" s="2088">
        <f>SUM(J17:O17)</f>
        <v>-7357565.6161683844</v>
      </c>
      <c r="R17" s="1856" t="s">
        <v>1331</v>
      </c>
      <c r="S17" s="1282"/>
      <c r="T17" s="1835"/>
      <c r="U17" s="1835"/>
      <c r="V17" s="1835"/>
      <c r="W17" s="1834"/>
    </row>
    <row r="18" spans="1:23" ht="15.5">
      <c r="A18" s="1828" t="s">
        <v>1332</v>
      </c>
      <c r="B18" s="1913" t="s">
        <v>1333</v>
      </c>
      <c r="C18" s="1828" t="s">
        <v>1334</v>
      </c>
      <c r="D18" s="1828" t="s">
        <v>872</v>
      </c>
      <c r="E18" s="1828" t="s">
        <v>1315</v>
      </c>
      <c r="F18" s="1923"/>
      <c r="G18" s="1908"/>
      <c r="H18" s="1908"/>
      <c r="I18" s="1854">
        <v>405780367.70059377</v>
      </c>
      <c r="J18" s="1851"/>
      <c r="K18" s="1854"/>
      <c r="L18" s="1854"/>
      <c r="M18" s="1854">
        <v>-149660574.67536429</v>
      </c>
      <c r="N18" s="2168"/>
      <c r="O18" s="2168"/>
      <c r="P18" s="1858">
        <f>SUM(I18:O18)</f>
        <v>256119793.02522948</v>
      </c>
      <c r="Q18" s="1851"/>
      <c r="R18" s="1852" t="s">
        <v>678</v>
      </c>
      <c r="S18" s="1282"/>
      <c r="T18" s="1835"/>
      <c r="U18" s="1835"/>
      <c r="V18" s="1835"/>
      <c r="W18" s="1834"/>
    </row>
    <row r="19" spans="1:23" ht="15.5">
      <c r="A19" s="1828" t="s">
        <v>1335</v>
      </c>
      <c r="B19" s="1913" t="s">
        <v>1333</v>
      </c>
      <c r="C19" s="1828" t="s">
        <v>1334</v>
      </c>
      <c r="D19" s="1828" t="s">
        <v>871</v>
      </c>
      <c r="E19" s="1828" t="s">
        <v>1315</v>
      </c>
      <c r="F19" s="1923"/>
      <c r="G19" s="1908"/>
      <c r="H19" s="1908"/>
      <c r="I19" s="1854">
        <v>7357565.6161683835</v>
      </c>
      <c r="J19" s="1851"/>
      <c r="K19" s="1854"/>
      <c r="L19" s="1854"/>
      <c r="M19" s="1854">
        <v>0</v>
      </c>
      <c r="N19" s="2168"/>
      <c r="O19" s="2168"/>
      <c r="P19" s="1858">
        <f>SUM(I19:O19)</f>
        <v>7357565.6161683835</v>
      </c>
      <c r="Q19" s="1851"/>
      <c r="R19" s="1852" t="s">
        <v>678</v>
      </c>
      <c r="S19" s="1282"/>
      <c r="T19" s="1835"/>
      <c r="U19" s="1835"/>
      <c r="V19" s="1835"/>
      <c r="W19" s="1834"/>
    </row>
    <row r="20" spans="1:23" ht="23">
      <c r="A20" s="1828" t="s">
        <v>1336</v>
      </c>
      <c r="B20" s="1913" t="s">
        <v>1337</v>
      </c>
      <c r="C20" s="1828" t="s">
        <v>1338</v>
      </c>
      <c r="D20" s="1828" t="s">
        <v>871</v>
      </c>
      <c r="E20" s="1828" t="s">
        <v>1315</v>
      </c>
      <c r="F20" s="1923">
        <f>+'SWEPCO WS C-5-A'!I27</f>
        <v>8891357.4100000001</v>
      </c>
      <c r="G20" s="1908" t="s">
        <v>1365</v>
      </c>
      <c r="H20" s="1908" t="s">
        <v>1366</v>
      </c>
      <c r="I20" s="1851" t="s">
        <v>254</v>
      </c>
      <c r="J20" s="1855">
        <v>2078033.3182972246</v>
      </c>
      <c r="K20" s="1854"/>
      <c r="L20" s="1854"/>
      <c r="M20" s="1854"/>
      <c r="N20" s="2168"/>
      <c r="O20" s="2168">
        <v>0</v>
      </c>
      <c r="P20" s="1859" t="s">
        <v>254</v>
      </c>
      <c r="Q20" s="2088">
        <f>SUM(J20:O20)</f>
        <v>2078033.3182972246</v>
      </c>
      <c r="R20" s="1856" t="s">
        <v>1331</v>
      </c>
      <c r="S20" s="1282"/>
      <c r="T20" s="1835"/>
      <c r="U20" s="1835"/>
      <c r="V20" s="1835"/>
      <c r="W20" s="1834"/>
    </row>
    <row r="21" spans="1:23" ht="15.5">
      <c r="A21" s="1828" t="s">
        <v>1340</v>
      </c>
      <c r="B21" s="1913" t="s">
        <v>1341</v>
      </c>
      <c r="C21" s="1828" t="s">
        <v>1342</v>
      </c>
      <c r="D21" s="1828" t="s">
        <v>871</v>
      </c>
      <c r="E21" s="1828" t="s">
        <v>1315</v>
      </c>
      <c r="F21" s="1914"/>
      <c r="G21" s="1908"/>
      <c r="H21" s="1908"/>
      <c r="I21" s="1854">
        <v>-2078033.6223824564</v>
      </c>
      <c r="J21" s="1860"/>
      <c r="K21" s="1854"/>
      <c r="L21" s="1854"/>
      <c r="M21" s="1854"/>
      <c r="N21" s="2168"/>
      <c r="O21" s="2168"/>
      <c r="P21" s="1858">
        <f>SUM(I21:O21)</f>
        <v>-2078033.6223824564</v>
      </c>
      <c r="Q21" s="1859"/>
      <c r="R21" s="1852" t="s">
        <v>678</v>
      </c>
      <c r="S21" s="1282"/>
      <c r="T21" s="1835"/>
      <c r="U21" s="1835"/>
      <c r="V21" s="1835"/>
      <c r="W21" s="1834"/>
    </row>
    <row r="22" spans="1:23" ht="15.5">
      <c r="A22" s="1828" t="s">
        <v>1343</v>
      </c>
      <c r="B22" s="1908" t="s">
        <v>1352</v>
      </c>
      <c r="F22" s="1914"/>
      <c r="G22" s="1908"/>
      <c r="H22" s="1908"/>
      <c r="I22" s="1854"/>
      <c r="J22" s="1854"/>
      <c r="K22" s="1854"/>
      <c r="L22" s="1854"/>
      <c r="M22" s="1854"/>
      <c r="N22" s="2168"/>
      <c r="O22" s="2168"/>
      <c r="P22" s="1862"/>
      <c r="Q22" s="1858"/>
      <c r="R22" s="1863"/>
      <c r="S22" s="1282"/>
      <c r="T22" s="1835"/>
      <c r="U22" s="1835"/>
      <c r="V22" s="1835"/>
      <c r="W22" s="1834"/>
    </row>
    <row r="23" spans="1:23" ht="15.5">
      <c r="B23" s="1835"/>
      <c r="C23" s="1835"/>
      <c r="D23" s="1835"/>
      <c r="E23" s="1835"/>
      <c r="F23" s="1835"/>
      <c r="G23" s="1835"/>
      <c r="H23" s="1835"/>
      <c r="I23" s="1835"/>
      <c r="J23" s="1865"/>
      <c r="K23" s="1835"/>
      <c r="L23" s="1835"/>
      <c r="M23" s="1835"/>
      <c r="N23" s="2170"/>
      <c r="O23" s="2170"/>
      <c r="P23" s="1865"/>
      <c r="Q23" s="1835"/>
      <c r="R23" s="1835"/>
      <c r="S23" s="1835"/>
      <c r="T23" s="1835"/>
      <c r="U23" s="1835"/>
      <c r="V23" s="1835"/>
      <c r="W23" s="1834"/>
    </row>
    <row r="24" spans="1:23" s="1834" customFormat="1" ht="15.5">
      <c r="A24" s="1828"/>
      <c r="B24" s="1911" t="s">
        <v>1353</v>
      </c>
      <c r="N24" s="2171"/>
      <c r="O24" s="2171"/>
      <c r="R24" s="1866"/>
      <c r="S24" s="1835"/>
      <c r="T24" s="1835"/>
      <c r="U24" s="1835"/>
      <c r="V24" s="1835"/>
    </row>
    <row r="25" spans="1:23" ht="11.5" customHeight="1">
      <c r="A25" s="1828" t="s">
        <v>1354</v>
      </c>
      <c r="B25" s="1894">
        <v>182.3</v>
      </c>
      <c r="C25" s="1895" t="s">
        <v>1355</v>
      </c>
      <c r="D25" s="1851" t="s">
        <v>254</v>
      </c>
      <c r="E25" s="1828" t="s">
        <v>1315</v>
      </c>
      <c r="F25" s="1851"/>
      <c r="G25" s="1851" t="s">
        <v>254</v>
      </c>
      <c r="H25" s="1851"/>
      <c r="I25" s="1868">
        <v>0</v>
      </c>
      <c r="J25" s="1851"/>
      <c r="K25" s="1854"/>
      <c r="L25" s="1854"/>
      <c r="M25" s="1854">
        <v>0</v>
      </c>
      <c r="N25" s="2172"/>
      <c r="O25" s="2172"/>
      <c r="P25" s="1862">
        <f>SUM(I25:O25)</f>
        <v>0</v>
      </c>
      <c r="Q25" s="1869"/>
      <c r="R25" s="1852" t="s">
        <v>1356</v>
      </c>
      <c r="S25" s="1835"/>
      <c r="T25" s="1835"/>
      <c r="U25" s="1835"/>
      <c r="V25" s="1835"/>
      <c r="W25" s="1834"/>
    </row>
    <row r="26" spans="1:23" ht="11.5" customHeight="1">
      <c r="A26" s="1828" t="s">
        <v>1357</v>
      </c>
      <c r="B26" s="1894">
        <v>2540001</v>
      </c>
      <c r="C26" s="1895" t="s">
        <v>1358</v>
      </c>
      <c r="D26" s="1851" t="s">
        <v>254</v>
      </c>
      <c r="E26" s="1828" t="s">
        <v>1315</v>
      </c>
      <c r="F26" s="1851"/>
      <c r="G26" s="1851" t="s">
        <v>254</v>
      </c>
      <c r="H26" s="1851"/>
      <c r="I26" s="1868">
        <v>-576447046.23343801</v>
      </c>
      <c r="J26" s="1851"/>
      <c r="K26" s="1854"/>
      <c r="L26" s="1854"/>
      <c r="M26" s="1854">
        <v>202506079.99413294</v>
      </c>
      <c r="N26" s="2172"/>
      <c r="O26" s="2172" t="s">
        <v>254</v>
      </c>
      <c r="P26" s="1862">
        <f>SUM(I26:O26)</f>
        <v>-373940966.23930508</v>
      </c>
      <c r="Q26" s="1869"/>
      <c r="R26" s="1852" t="s">
        <v>1356</v>
      </c>
      <c r="S26" s="1834"/>
      <c r="T26" s="1834"/>
      <c r="U26" s="1834"/>
      <c r="V26" s="1834"/>
      <c r="W26" s="1834"/>
    </row>
    <row r="27" spans="1:23" ht="11.5" customHeight="1">
      <c r="A27" s="1828" t="s">
        <v>1359</v>
      </c>
      <c r="B27" s="1908" t="s">
        <v>1352</v>
      </c>
      <c r="C27" s="1895"/>
      <c r="D27" s="1851"/>
      <c r="F27" s="1851"/>
      <c r="G27" s="1851"/>
      <c r="H27" s="1851"/>
      <c r="I27" s="1854"/>
      <c r="J27" s="1851"/>
      <c r="K27" s="1854"/>
      <c r="L27" s="1854"/>
      <c r="M27" s="1854"/>
      <c r="N27" s="2172"/>
      <c r="O27" s="2172"/>
      <c r="P27" s="1862"/>
      <c r="Q27" s="1869"/>
      <c r="R27" s="1852"/>
      <c r="S27" s="1834"/>
      <c r="T27" s="1834"/>
      <c r="U27" s="1834"/>
      <c r="V27" s="1834"/>
      <c r="W27" s="1834"/>
    </row>
    <row r="28" spans="1:23">
      <c r="C28" s="1895"/>
      <c r="D28" s="1838"/>
      <c r="E28" s="1838"/>
      <c r="F28" s="1838"/>
      <c r="G28" s="1838"/>
      <c r="H28" s="1838"/>
      <c r="I28" s="1838"/>
      <c r="J28" s="1838"/>
      <c r="K28" s="1838"/>
      <c r="L28" s="1838"/>
      <c r="M28" s="1838"/>
      <c r="N28" s="2173"/>
      <c r="O28" s="2173"/>
      <c r="P28" s="1838"/>
      <c r="Q28" s="1838"/>
      <c r="R28" s="1870"/>
      <c r="S28" s="1834"/>
      <c r="T28" s="1834"/>
      <c r="U28" s="1834"/>
      <c r="V28" s="1834"/>
      <c r="W28" s="1834"/>
    </row>
    <row r="29" spans="1:23" ht="12" thickBot="1">
      <c r="A29" s="1900">
        <v>3</v>
      </c>
      <c r="B29" s="2424" t="str">
        <f>"Total For Accounting Entries (Sum of Lines "&amp;A13&amp;" through "&amp;A27&amp;")"</f>
        <v>Total For Accounting Entries (Sum of Lines 1a through 2c)</v>
      </c>
      <c r="C29" s="2424"/>
      <c r="D29" s="1851"/>
      <c r="E29" s="1851"/>
      <c r="F29" s="1872">
        <f>SUM(F13:F28)</f>
        <v>-564459785.33000004</v>
      </c>
      <c r="G29" s="1851"/>
      <c r="H29" s="1851"/>
      <c r="I29" s="1922">
        <f>SUM(I13:I28)</f>
        <v>2.0000219345092773E-2</v>
      </c>
      <c r="J29" s="1922">
        <f>SUM(J13:J28)</f>
        <v>-436072966.6886245</v>
      </c>
      <c r="K29" s="1922">
        <f>SUM(K13:K28)</f>
        <v>0</v>
      </c>
      <c r="L29" s="1922">
        <f>SUM(L13:L28)</f>
        <v>0</v>
      </c>
      <c r="M29" s="1922">
        <f>SUM(M13:M28)</f>
        <v>0</v>
      </c>
      <c r="N29" s="2166">
        <f>-SUM(N13:N28)</f>
        <v>-150783729.7805779</v>
      </c>
      <c r="O29" s="2166">
        <f>-SUM(O13:O28)</f>
        <v>0</v>
      </c>
      <c r="P29" s="1922">
        <f>SUM(P13:P28)</f>
        <v>2.0000159740447998E-2</v>
      </c>
      <c r="Q29" s="1922">
        <f>SUM(Q13:Q28)</f>
        <v>-285289236.9080466</v>
      </c>
      <c r="R29" s="1875"/>
      <c r="S29" s="1834"/>
      <c r="T29" s="1834"/>
      <c r="U29" s="1834"/>
      <c r="V29" s="1834"/>
      <c r="W29" s="1834"/>
    </row>
    <row r="30" spans="1:23" ht="12" thickTop="1">
      <c r="C30" s="1895"/>
      <c r="D30" s="1838"/>
      <c r="E30" s="1838"/>
      <c r="F30" s="1838"/>
      <c r="G30" s="1838"/>
      <c r="H30" s="1838"/>
      <c r="I30" s="1876"/>
      <c r="J30" s="1857"/>
      <c r="K30" s="1877"/>
      <c r="L30" s="1877"/>
      <c r="M30" s="1877"/>
      <c r="N30" s="2174" t="s">
        <v>1504</v>
      </c>
      <c r="O30" s="2174"/>
      <c r="P30" s="1877"/>
      <c r="Q30" s="1879"/>
      <c r="R30" s="1875"/>
      <c r="S30" s="1834"/>
      <c r="T30" s="1834"/>
      <c r="U30" s="1834"/>
      <c r="V30" s="1834"/>
      <c r="W30" s="1834"/>
    </row>
    <row r="31" spans="1:23">
      <c r="A31" s="1908" t="s">
        <v>1361</v>
      </c>
      <c r="C31" s="1895"/>
      <c r="D31" s="1838"/>
      <c r="E31" s="1838"/>
      <c r="F31" s="1838"/>
      <c r="G31" s="1838"/>
      <c r="H31" s="1838"/>
      <c r="I31" s="1876"/>
      <c r="J31" s="1857"/>
      <c r="K31" s="1877"/>
      <c r="L31" s="1877"/>
      <c r="M31" s="1877"/>
      <c r="N31" s="2175"/>
      <c r="O31" s="2175"/>
      <c r="P31" s="1877"/>
      <c r="Q31" s="1879"/>
      <c r="R31" s="1875"/>
      <c r="S31" s="1834"/>
      <c r="T31" s="1834"/>
      <c r="U31" s="1834"/>
      <c r="V31" s="1834"/>
      <c r="W31" s="1834"/>
    </row>
    <row r="32" spans="1:23">
      <c r="B32" s="1828"/>
      <c r="D32" s="1910"/>
      <c r="E32" s="1910"/>
      <c r="F32" s="1910"/>
      <c r="G32" s="1910"/>
      <c r="H32" s="1910"/>
      <c r="I32" s="1910" t="s">
        <v>1310</v>
      </c>
      <c r="J32" s="1910"/>
      <c r="K32" s="1910"/>
      <c r="L32" s="1910"/>
      <c r="M32" s="1910"/>
      <c r="N32" s="2176"/>
      <c r="O32" s="2176"/>
      <c r="P32" s="2423" t="s">
        <v>1310</v>
      </c>
      <c r="Q32" s="2423"/>
      <c r="R32" s="1909"/>
      <c r="V32" s="1834"/>
      <c r="W32" s="1834"/>
    </row>
    <row r="33" spans="1:23">
      <c r="B33" s="1911" t="s">
        <v>1311</v>
      </c>
      <c r="C33" s="1912"/>
      <c r="D33" s="1912"/>
      <c r="E33" s="1912"/>
      <c r="F33" s="1912"/>
      <c r="G33" s="1912"/>
      <c r="H33" s="1912"/>
      <c r="I33" s="1912"/>
      <c r="J33" s="1912"/>
      <c r="K33" s="1912"/>
      <c r="L33" s="1912"/>
      <c r="M33" s="1912"/>
      <c r="N33" s="2177"/>
      <c r="O33" s="2177"/>
      <c r="P33" s="1912"/>
      <c r="Q33" s="1912"/>
      <c r="R33" s="1834"/>
      <c r="V33" s="1834"/>
      <c r="W33" s="1834"/>
    </row>
    <row r="34" spans="1:23">
      <c r="A34" s="1828" t="s">
        <v>1362</v>
      </c>
      <c r="B34" s="1913" t="s">
        <v>1313</v>
      </c>
      <c r="C34" s="1828" t="s">
        <v>1314</v>
      </c>
      <c r="D34" s="1828" t="s">
        <v>16</v>
      </c>
      <c r="E34" s="1828" t="s">
        <v>1315</v>
      </c>
      <c r="F34" s="1894"/>
      <c r="I34" s="1854">
        <v>28202839.198800884</v>
      </c>
      <c r="J34" s="1860"/>
      <c r="K34" s="1854"/>
      <c r="L34" s="1854"/>
      <c r="M34" s="1854">
        <v>-1342742.3326755324</v>
      </c>
      <c r="N34" s="2168"/>
      <c r="O34" s="2168"/>
      <c r="P34" s="1858">
        <f>SUM(I34:O34)</f>
        <v>26860096.866125353</v>
      </c>
      <c r="Q34" s="1881"/>
      <c r="R34" s="1852" t="s">
        <v>678</v>
      </c>
      <c r="S34" s="1882"/>
      <c r="T34" s="1882"/>
      <c r="V34" s="1883"/>
      <c r="W34" s="1834"/>
    </row>
    <row r="35" spans="1:23">
      <c r="A35" s="1828" t="s">
        <v>1363</v>
      </c>
      <c r="B35" s="1913" t="s">
        <v>1325</v>
      </c>
      <c r="C35" s="1828" t="s">
        <v>1326</v>
      </c>
      <c r="D35" s="1828" t="s">
        <v>872</v>
      </c>
      <c r="E35" s="1828" t="s">
        <v>1315</v>
      </c>
      <c r="F35" s="1914">
        <f>+'SWEPCO WS C-5-A'!I41</f>
        <v>-98275744</v>
      </c>
      <c r="G35" s="1908" t="s">
        <v>1319</v>
      </c>
      <c r="H35" s="1908" t="s">
        <v>1320</v>
      </c>
      <c r="I35" s="1851"/>
      <c r="J35" s="1854">
        <v>-87056397.13613978</v>
      </c>
      <c r="K35" s="1854"/>
      <c r="L35" s="1854"/>
      <c r="M35" s="1854"/>
      <c r="N35" s="2168">
        <v>1174089.0000000002</v>
      </c>
      <c r="O35" s="2168">
        <v>0</v>
      </c>
      <c r="P35" s="1881"/>
      <c r="Q35" s="2089">
        <f>SUM(J35:O35)</f>
        <v>-85882308.13613978</v>
      </c>
      <c r="R35" s="1852" t="s">
        <v>678</v>
      </c>
      <c r="S35" s="1882"/>
      <c r="T35" s="1882"/>
      <c r="V35" s="1884"/>
      <c r="W35" s="1834"/>
    </row>
    <row r="36" spans="1:23">
      <c r="A36" s="1828" t="s">
        <v>1364</v>
      </c>
      <c r="B36" s="1913" t="s">
        <v>1325</v>
      </c>
      <c r="C36" s="1828" t="s">
        <v>1326</v>
      </c>
      <c r="D36" s="1828" t="s">
        <v>871</v>
      </c>
      <c r="E36" s="1828" t="s">
        <v>1315</v>
      </c>
      <c r="F36" s="1923">
        <f>+'SWEPCO WS C-5-A'!I42</f>
        <v>-6795040</v>
      </c>
      <c r="G36" s="1908" t="s">
        <v>1365</v>
      </c>
      <c r="H36" s="1908" t="s">
        <v>1366</v>
      </c>
      <c r="I36" s="1851"/>
      <c r="J36" s="1854">
        <v>-434946.01048883703</v>
      </c>
      <c r="K36" s="1854"/>
      <c r="L36" s="1854"/>
      <c r="M36" s="1854"/>
      <c r="N36" s="2168">
        <v>0</v>
      </c>
      <c r="O36" s="2168">
        <v>0</v>
      </c>
      <c r="P36" s="1881"/>
      <c r="Q36" s="2089">
        <f>SUM(J36:O36)</f>
        <v>-434946.01048883703</v>
      </c>
      <c r="R36" s="1852" t="s">
        <v>678</v>
      </c>
      <c r="S36" s="1882"/>
      <c r="T36" s="1882"/>
      <c r="V36" s="1884"/>
      <c r="W36" s="1834"/>
    </row>
    <row r="37" spans="1:23">
      <c r="A37" s="1828" t="s">
        <v>1367</v>
      </c>
      <c r="B37" s="1913" t="s">
        <v>1333</v>
      </c>
      <c r="C37" s="1828" t="s">
        <v>1334</v>
      </c>
      <c r="D37" s="1828" t="s">
        <v>872</v>
      </c>
      <c r="E37" s="1828" t="s">
        <v>1315</v>
      </c>
      <c r="F37" s="1923"/>
      <c r="H37" s="1908"/>
      <c r="I37" s="1854">
        <v>87056397.13613978</v>
      </c>
      <c r="J37" s="1851"/>
      <c r="K37" s="1854"/>
      <c r="L37" s="1854"/>
      <c r="M37" s="1854">
        <v>-1174089.0000000002</v>
      </c>
      <c r="N37" s="2168"/>
      <c r="O37" s="2168"/>
      <c r="P37" s="1858">
        <f>SUM(I37:O37)</f>
        <v>85882308.13613978</v>
      </c>
      <c r="Q37" s="1881"/>
      <c r="R37" s="1852" t="s">
        <v>678</v>
      </c>
      <c r="S37" s="1882"/>
      <c r="T37" s="1882"/>
      <c r="V37" s="1882"/>
      <c r="W37" s="1834"/>
    </row>
    <row r="38" spans="1:23">
      <c r="A38" s="1828" t="s">
        <v>1368</v>
      </c>
      <c r="B38" s="1913" t="s">
        <v>1333</v>
      </c>
      <c r="C38" s="1828" t="s">
        <v>1334</v>
      </c>
      <c r="D38" s="1828" t="s">
        <v>871</v>
      </c>
      <c r="E38" s="1828" t="s">
        <v>1315</v>
      </c>
      <c r="F38" s="1923"/>
      <c r="G38" s="1908"/>
      <c r="H38" s="1908"/>
      <c r="I38" s="1854">
        <v>434946.01048883703</v>
      </c>
      <c r="J38" s="1851"/>
      <c r="K38" s="1854"/>
      <c r="L38" s="1854"/>
      <c r="M38" s="1854">
        <v>0</v>
      </c>
      <c r="N38" s="2168"/>
      <c r="O38" s="2168"/>
      <c r="P38" s="1858">
        <f>SUM(I38:O38)</f>
        <v>434946.01048883703</v>
      </c>
      <c r="Q38" s="1881"/>
      <c r="R38" s="1852" t="s">
        <v>678</v>
      </c>
      <c r="S38" s="1882"/>
      <c r="T38" s="1882"/>
      <c r="V38" s="1884"/>
      <c r="W38" s="1834"/>
    </row>
    <row r="39" spans="1:23">
      <c r="A39" s="1828" t="s">
        <v>1369</v>
      </c>
      <c r="B39" s="1913" t="s">
        <v>1337</v>
      </c>
      <c r="C39" s="1828" t="s">
        <v>1338</v>
      </c>
      <c r="D39" s="1828" t="s">
        <v>871</v>
      </c>
      <c r="E39" s="1828" t="s">
        <v>1315</v>
      </c>
      <c r="F39" s="1923">
        <f>+'SWEPCO WS C-5-A'!I44</f>
        <v>-44789</v>
      </c>
      <c r="G39" s="1908" t="s">
        <v>1365</v>
      </c>
      <c r="H39" s="1908" t="s">
        <v>1366</v>
      </c>
      <c r="I39" s="1851" t="s">
        <v>254</v>
      </c>
      <c r="J39" s="1854">
        <v>-120953.01979020983</v>
      </c>
      <c r="K39" s="1854"/>
      <c r="L39" s="1854"/>
      <c r="M39" s="1854"/>
      <c r="N39" s="2168">
        <v>0</v>
      </c>
      <c r="O39" s="2168">
        <v>0</v>
      </c>
      <c r="P39" s="1885" t="s">
        <v>254</v>
      </c>
      <c r="Q39" s="2089">
        <f>SUM(J39:O39)</f>
        <v>-120953.01979020983</v>
      </c>
      <c r="R39" s="1852" t="s">
        <v>678</v>
      </c>
      <c r="T39" s="1882"/>
      <c r="V39" s="1884"/>
      <c r="W39" s="1834"/>
    </row>
    <row r="40" spans="1:23">
      <c r="A40" s="1828" t="s">
        <v>1370</v>
      </c>
      <c r="B40" s="1913" t="s">
        <v>1341</v>
      </c>
      <c r="C40" s="1828" t="s">
        <v>1342</v>
      </c>
      <c r="D40" s="1828" t="s">
        <v>871</v>
      </c>
      <c r="E40" s="1828" t="s">
        <v>1315</v>
      </c>
      <c r="F40" s="1914"/>
      <c r="G40" s="1908"/>
      <c r="H40" s="1908"/>
      <c r="I40" s="1854">
        <v>120954.43979020987</v>
      </c>
      <c r="J40" s="1860"/>
      <c r="K40" s="1854"/>
      <c r="L40" s="1854"/>
      <c r="M40" s="1854">
        <v>0</v>
      </c>
      <c r="N40" s="2168"/>
      <c r="O40" s="2168"/>
      <c r="P40" s="1858">
        <f>SUM(I40:O40)</f>
        <v>120954.43979020987</v>
      </c>
      <c r="Q40" s="1885"/>
      <c r="R40" s="1852" t="s">
        <v>678</v>
      </c>
      <c r="S40" s="1915"/>
      <c r="T40" s="1889"/>
      <c r="U40" s="1916"/>
      <c r="V40" s="1884"/>
      <c r="W40" s="1834"/>
    </row>
    <row r="41" spans="1:23">
      <c r="A41" s="1828" t="s">
        <v>1371</v>
      </c>
      <c r="B41" s="1908" t="s">
        <v>1352</v>
      </c>
      <c r="F41" s="1914"/>
      <c r="G41" s="1908"/>
      <c r="H41" s="1908"/>
      <c r="I41" s="1854"/>
      <c r="J41" s="1854"/>
      <c r="K41" s="1854"/>
      <c r="L41" s="1854"/>
      <c r="M41" s="1854"/>
      <c r="N41" s="2168"/>
      <c r="O41" s="2168"/>
      <c r="P41" s="1891"/>
      <c r="Q41" s="1880"/>
      <c r="R41" s="1863"/>
      <c r="S41" s="1882"/>
      <c r="T41" s="1882"/>
      <c r="U41" s="1834"/>
      <c r="V41" s="1834"/>
      <c r="W41" s="1834"/>
    </row>
    <row r="42" spans="1:23" ht="15.5">
      <c r="B42" s="1835"/>
      <c r="C42" s="1835"/>
      <c r="D42" s="1835"/>
      <c r="E42" s="1835"/>
      <c r="F42" s="1835"/>
      <c r="G42" s="1835"/>
      <c r="H42" s="1835"/>
      <c r="I42" s="1835"/>
      <c r="J42" s="1835"/>
      <c r="K42" s="1835"/>
      <c r="L42" s="1835"/>
      <c r="M42" s="1835"/>
      <c r="N42" s="2170"/>
      <c r="O42" s="2170"/>
      <c r="P42" s="1835"/>
      <c r="Q42" s="1835"/>
      <c r="R42" s="1835"/>
      <c r="S42" s="1882"/>
      <c r="T42" s="1882"/>
      <c r="U42" s="1834"/>
      <c r="V42" s="1834"/>
      <c r="W42" s="1834"/>
    </row>
    <row r="43" spans="1:23">
      <c r="B43" s="1911" t="s">
        <v>1353</v>
      </c>
      <c r="C43" s="1834"/>
      <c r="D43" s="1834"/>
      <c r="E43" s="1834"/>
      <c r="F43" s="1834"/>
      <c r="G43" s="1834"/>
      <c r="H43" s="1834"/>
      <c r="I43" s="1834"/>
      <c r="J43" s="1834"/>
      <c r="K43" s="1834"/>
      <c r="L43" s="1834"/>
      <c r="M43" s="1834"/>
      <c r="N43" s="2171"/>
      <c r="O43" s="2171"/>
      <c r="P43" s="1834"/>
      <c r="Q43" s="1834"/>
      <c r="R43" s="1834"/>
      <c r="S43" s="1834"/>
      <c r="T43" s="1834"/>
      <c r="U43" s="1834"/>
      <c r="V43" s="1834"/>
      <c r="W43" s="1834"/>
    </row>
    <row r="44" spans="1:23">
      <c r="A44" s="1828" t="s">
        <v>1375</v>
      </c>
      <c r="B44" s="1894">
        <v>182.3</v>
      </c>
      <c r="C44" s="1895" t="s">
        <v>1355</v>
      </c>
      <c r="D44" s="1851" t="s">
        <v>254</v>
      </c>
      <c r="E44" s="1828" t="s">
        <v>1315</v>
      </c>
      <c r="F44" s="1851"/>
      <c r="G44" s="1851" t="s">
        <v>254</v>
      </c>
      <c r="H44" s="1851"/>
      <c r="I44" s="1868">
        <v>-0.45000000001164153</v>
      </c>
      <c r="J44" s="1851"/>
      <c r="K44" s="1854"/>
      <c r="L44" s="1854"/>
      <c r="M44" s="1854">
        <v>0</v>
      </c>
      <c r="N44" s="2172"/>
      <c r="O44" s="2172"/>
      <c r="P44" s="1862">
        <f>SUM(I44:O44)</f>
        <v>-0.45000000001164153</v>
      </c>
      <c r="Q44" s="1869"/>
      <c r="R44" s="1852" t="s">
        <v>1356</v>
      </c>
      <c r="S44" s="1834"/>
      <c r="T44" s="1834"/>
      <c r="U44" s="1834"/>
      <c r="V44" s="1834"/>
      <c r="W44" s="1834"/>
    </row>
    <row r="45" spans="1:23">
      <c r="A45" s="1828" t="s">
        <v>1376</v>
      </c>
      <c r="B45" s="1894">
        <v>2540001</v>
      </c>
      <c r="C45" s="1895" t="s">
        <v>1358</v>
      </c>
      <c r="D45" s="1851" t="s">
        <v>254</v>
      </c>
      <c r="E45" s="1828" t="s">
        <v>1315</v>
      </c>
      <c r="F45" s="1851"/>
      <c r="G45" s="1851" t="s">
        <v>254</v>
      </c>
      <c r="H45" s="1851"/>
      <c r="I45" s="1868">
        <v>-115815135.14521971</v>
      </c>
      <c r="J45" s="1851"/>
      <c r="K45" s="1854"/>
      <c r="L45" s="1854"/>
      <c r="M45" s="1854">
        <v>2516831.3326755329</v>
      </c>
      <c r="N45" s="2172"/>
      <c r="O45" s="2172" t="s">
        <v>254</v>
      </c>
      <c r="P45" s="1862">
        <f>SUM(I45:O45)</f>
        <v>-113298303.81254418</v>
      </c>
      <c r="Q45" s="1869"/>
      <c r="R45" s="1852" t="s">
        <v>1356</v>
      </c>
      <c r="S45" s="1834"/>
      <c r="T45" s="1834"/>
      <c r="U45" s="1834"/>
      <c r="V45" s="1834"/>
      <c r="W45" s="1834"/>
    </row>
    <row r="46" spans="1:23">
      <c r="A46" s="1828" t="s">
        <v>1377</v>
      </c>
      <c r="B46" s="1908" t="s">
        <v>1352</v>
      </c>
      <c r="C46" s="1895"/>
      <c r="D46" s="1851"/>
      <c r="F46" s="1851"/>
      <c r="G46" s="1851"/>
      <c r="H46" s="1851"/>
      <c r="I46" s="1854"/>
      <c r="J46" s="1851"/>
      <c r="K46" s="1854"/>
      <c r="L46" s="1854"/>
      <c r="M46" s="1854"/>
      <c r="N46" s="2172"/>
      <c r="O46" s="2172"/>
      <c r="P46" s="1862"/>
      <c r="Q46" s="1869"/>
      <c r="R46" s="1852"/>
      <c r="S46" s="1834"/>
      <c r="T46" s="1834"/>
      <c r="U46" s="1834"/>
      <c r="V46" s="1834"/>
      <c r="W46" s="1834"/>
    </row>
    <row r="47" spans="1:23">
      <c r="C47" s="1895"/>
      <c r="D47" s="1838"/>
      <c r="E47" s="1838"/>
      <c r="F47" s="1838"/>
      <c r="G47" s="1838"/>
      <c r="H47" s="1838"/>
      <c r="I47" s="1838"/>
      <c r="J47" s="1838"/>
      <c r="K47" s="1838"/>
      <c r="L47" s="1838"/>
      <c r="M47" s="1838"/>
      <c r="N47" s="2173"/>
      <c r="O47" s="2173"/>
      <c r="P47" s="1838"/>
      <c r="Q47" s="1838"/>
      <c r="R47" s="1870"/>
      <c r="S47" s="1834"/>
      <c r="T47" s="1834"/>
      <c r="U47" s="1834"/>
      <c r="V47" s="1834"/>
      <c r="W47" s="1834"/>
    </row>
    <row r="48" spans="1:23" ht="12" thickBot="1">
      <c r="A48" s="1900">
        <v>6</v>
      </c>
      <c r="B48" s="2424" t="str">
        <f>"Total For Accounting Entries (Sum of Lines "&amp;A34&amp;" through "&amp;A46&amp;")"</f>
        <v>Total For Accounting Entries (Sum of Lines 4a through 5c)</v>
      </c>
      <c r="C48" s="2424"/>
      <c r="D48" s="1851"/>
      <c r="E48" s="1851"/>
      <c r="F48" s="1872">
        <f>SUM(F34:F47)</f>
        <v>-105115573</v>
      </c>
      <c r="G48" s="1851"/>
      <c r="H48" s="1851"/>
      <c r="I48" s="1922">
        <f>SUM(I34:I47)</f>
        <v>1.1899999976158142</v>
      </c>
      <c r="J48" s="1922">
        <f>SUM(J34:J47)</f>
        <v>-87612296.166418821</v>
      </c>
      <c r="K48" s="2166">
        <f>SUM(K34:K47)</f>
        <v>0</v>
      </c>
      <c r="L48" s="2166">
        <f>SUM(L34:L47)</f>
        <v>0</v>
      </c>
      <c r="M48" s="2166">
        <f>SUM(M34:M47)</f>
        <v>0</v>
      </c>
      <c r="N48" s="2166">
        <f>-SUM(N34:N47)</f>
        <v>-1174089.0000000002</v>
      </c>
      <c r="O48" s="2166">
        <f>-SUM(O34:O47)</f>
        <v>0</v>
      </c>
      <c r="P48" s="1922">
        <f>SUM(P34:P47)</f>
        <v>1.189999982714653</v>
      </c>
      <c r="Q48" s="1922">
        <f>SUM(Q34:Q47)</f>
        <v>-86438207.166418821</v>
      </c>
      <c r="R48" s="1875"/>
      <c r="S48" s="1834"/>
      <c r="T48" s="1834"/>
      <c r="U48" s="1834"/>
      <c r="V48" s="1834"/>
      <c r="W48" s="1834"/>
    </row>
    <row r="49" spans="1:24" ht="13" thickTop="1">
      <c r="A49" s="1900"/>
      <c r="B49" s="1917"/>
      <c r="C49" s="1917"/>
      <c r="D49" s="1282"/>
      <c r="E49" s="1282"/>
      <c r="F49" s="1282"/>
      <c r="G49" s="1282"/>
      <c r="H49" s="1282"/>
      <c r="I49" s="1282"/>
      <c r="J49" s="1879"/>
      <c r="K49" s="1877"/>
      <c r="L49" s="1877"/>
      <c r="M49" s="1879"/>
      <c r="N49" s="1878" t="s">
        <v>1504</v>
      </c>
      <c r="O49" s="1879"/>
      <c r="P49" s="1877"/>
      <c r="Q49" s="1879"/>
      <c r="R49" s="1875"/>
      <c r="S49" s="1834"/>
      <c r="T49" s="1834"/>
      <c r="U49" s="1834"/>
      <c r="V49" s="1834"/>
      <c r="W49" s="1834"/>
    </row>
    <row r="50" spans="1:24" ht="13" customHeight="1">
      <c r="A50"/>
      <c r="B50"/>
      <c r="C50"/>
      <c r="D50"/>
      <c r="E50"/>
      <c r="F50"/>
      <c r="G50"/>
      <c r="H50"/>
      <c r="I50"/>
      <c r="J50"/>
      <c r="K50" s="1877"/>
      <c r="L50" s="1877"/>
      <c r="M50" s="1879"/>
      <c r="O50" s="1879"/>
      <c r="P50" s="1877"/>
      <c r="Q50" s="1879"/>
      <c r="R50" s="1875"/>
      <c r="S50" s="1834"/>
      <c r="T50" s="1834"/>
      <c r="U50" s="1834"/>
      <c r="V50" s="1834"/>
      <c r="W50" s="1834"/>
    </row>
    <row r="51" spans="1:24" ht="12.5">
      <c r="A51"/>
      <c r="B51"/>
      <c r="C51"/>
      <c r="D51"/>
      <c r="E51"/>
      <c r="F51"/>
      <c r="G51"/>
      <c r="H51"/>
      <c r="I51"/>
      <c r="J51"/>
      <c r="K51" s="1877"/>
      <c r="L51" s="1877"/>
      <c r="M51" s="1877"/>
      <c r="O51" s="1857"/>
      <c r="P51" s="1877"/>
      <c r="Q51" s="1879"/>
      <c r="R51" s="1875"/>
      <c r="S51" s="1834"/>
      <c r="T51" s="1834"/>
      <c r="U51" s="1834"/>
      <c r="V51" s="1834"/>
      <c r="W51" s="1834"/>
    </row>
    <row r="52" spans="1:24">
      <c r="A52" s="1828" t="s">
        <v>1380</v>
      </c>
      <c r="C52" s="1895"/>
      <c r="D52" s="1838"/>
      <c r="E52" s="1838"/>
      <c r="F52" s="1838"/>
      <c r="G52" s="1838"/>
      <c r="H52" s="1838"/>
      <c r="I52" s="1876"/>
      <c r="J52" s="1857"/>
      <c r="K52" s="1877"/>
      <c r="L52" s="1877"/>
      <c r="M52" s="1877"/>
      <c r="N52" s="1857"/>
      <c r="O52" s="1857"/>
      <c r="P52" s="1877"/>
      <c r="Q52" s="1879"/>
      <c r="R52" s="1875"/>
      <c r="S52" s="1834"/>
      <c r="T52" s="1834"/>
      <c r="U52" s="1834"/>
      <c r="V52" s="1834"/>
      <c r="W52" s="1834"/>
    </row>
    <row r="53" spans="1:24" ht="12.65" customHeight="1">
      <c r="B53" s="2310" t="s">
        <v>1381</v>
      </c>
      <c r="C53" s="2310"/>
      <c r="D53" s="2310"/>
      <c r="E53" s="2310"/>
      <c r="F53" s="2310"/>
      <c r="G53" s="2310"/>
      <c r="H53" s="2310"/>
      <c r="I53" s="2310"/>
      <c r="J53" s="2310"/>
      <c r="K53" s="2310"/>
      <c r="L53" s="1877"/>
      <c r="M53" s="2038"/>
      <c r="N53" s="1857"/>
      <c r="O53" s="1838"/>
      <c r="P53" s="1838"/>
      <c r="Q53" s="1838"/>
      <c r="R53" s="1838"/>
      <c r="S53" s="1838"/>
      <c r="T53" s="1838"/>
      <c r="U53" s="1838"/>
      <c r="V53" s="1838"/>
      <c r="W53" s="1838"/>
      <c r="X53" s="1838"/>
    </row>
    <row r="54" spans="1:24" ht="12.65" customHeight="1">
      <c r="B54" s="2310"/>
      <c r="C54" s="2310"/>
      <c r="D54" s="2310"/>
      <c r="E54" s="2310"/>
      <c r="F54" s="2310"/>
      <c r="G54" s="2310"/>
      <c r="H54" s="2310"/>
      <c r="I54" s="2310"/>
      <c r="J54" s="2310"/>
      <c r="K54" s="2310"/>
      <c r="L54" s="1877"/>
      <c r="M54" s="1877"/>
      <c r="N54" s="1857"/>
      <c r="O54" s="1838"/>
      <c r="P54" s="1838"/>
      <c r="Q54" s="1838"/>
      <c r="R54" s="1838"/>
      <c r="S54" s="1838"/>
      <c r="T54" s="1838"/>
      <c r="U54" s="1838"/>
      <c r="V54" s="1838"/>
      <c r="W54" s="1838"/>
      <c r="X54" s="1838"/>
    </row>
    <row r="55" spans="1:24" ht="11.5" customHeight="1">
      <c r="B55" s="2310"/>
      <c r="C55" s="2310"/>
      <c r="D55" s="2310"/>
      <c r="E55" s="2310"/>
      <c r="F55" s="2310"/>
      <c r="G55" s="2310"/>
      <c r="H55" s="2310"/>
      <c r="I55" s="2310"/>
      <c r="J55" s="2310"/>
      <c r="K55" s="2310"/>
      <c r="L55" s="1877"/>
      <c r="M55" s="1877"/>
      <c r="N55" s="1857"/>
      <c r="O55" s="1838"/>
      <c r="P55" s="1838"/>
      <c r="Q55" s="1838"/>
      <c r="R55" s="1838"/>
      <c r="S55" s="1838"/>
      <c r="T55" s="1838"/>
      <c r="U55" s="1838"/>
      <c r="V55" s="1838"/>
      <c r="W55" s="1838"/>
      <c r="X55" s="1838"/>
    </row>
    <row r="56" spans="1:24" ht="12.65" customHeight="1">
      <c r="B56" s="2310"/>
      <c r="C56" s="2310"/>
      <c r="D56" s="2310"/>
      <c r="E56" s="2310"/>
      <c r="F56" s="2310"/>
      <c r="G56" s="2310"/>
      <c r="H56" s="2310"/>
      <c r="I56" s="2310"/>
      <c r="J56" s="2310"/>
      <c r="K56" s="2310"/>
      <c r="L56" s="1877"/>
      <c r="M56" s="1877"/>
      <c r="N56" s="1857"/>
      <c r="O56" s="1838"/>
      <c r="P56" s="1838"/>
      <c r="Q56" s="1838"/>
      <c r="R56" s="1838"/>
      <c r="S56" s="1838"/>
      <c r="T56" s="1838"/>
      <c r="U56" s="1838"/>
      <c r="V56" s="1838"/>
      <c r="W56" s="1838"/>
      <c r="X56" s="1838"/>
    </row>
    <row r="57" spans="1:24">
      <c r="B57" s="1828"/>
      <c r="C57" s="1895"/>
      <c r="D57" s="1838"/>
      <c r="E57" s="1838"/>
      <c r="F57" s="1838"/>
      <c r="G57" s="1838"/>
      <c r="H57" s="1838"/>
      <c r="I57" s="1876"/>
      <c r="J57" s="1879"/>
      <c r="K57" s="1877"/>
      <c r="L57" s="1877"/>
      <c r="M57" s="1877"/>
      <c r="N57" s="1879"/>
      <c r="Q57" s="1838"/>
      <c r="R57" s="1838"/>
      <c r="S57" s="1838"/>
      <c r="T57" s="1838"/>
      <c r="U57" s="1838"/>
      <c r="V57" s="1876"/>
      <c r="W57" s="1879"/>
      <c r="X57" s="1877"/>
    </row>
    <row r="58" spans="1:24" ht="15" customHeight="1">
      <c r="A58" s="1896" t="s">
        <v>1382</v>
      </c>
      <c r="B58" s="2318" t="s">
        <v>1383</v>
      </c>
      <c r="C58" s="2318"/>
      <c r="D58" s="2318"/>
      <c r="E58" s="2318"/>
      <c r="F58" s="2318"/>
      <c r="G58" s="2318"/>
      <c r="H58" s="2318"/>
      <c r="I58" s="2318"/>
      <c r="J58" s="2318"/>
      <c r="K58" s="1897"/>
      <c r="O58" s="1899"/>
      <c r="P58" s="1899"/>
      <c r="Q58" s="1899"/>
      <c r="R58" s="1899"/>
      <c r="S58" s="1899"/>
      <c r="T58" s="1899"/>
      <c r="U58" s="1899"/>
      <c r="V58" s="1899"/>
      <c r="W58" s="1899"/>
      <c r="X58" s="1899"/>
    </row>
    <row r="59" spans="1:24">
      <c r="B59" s="2318"/>
      <c r="C59" s="2318"/>
      <c r="D59" s="2318"/>
      <c r="E59" s="2318"/>
      <c r="F59" s="2318"/>
      <c r="G59" s="2318"/>
      <c r="H59" s="2318"/>
      <c r="I59" s="2318"/>
      <c r="J59" s="2318"/>
      <c r="K59" s="1897"/>
      <c r="O59" s="1899"/>
      <c r="P59" s="1899"/>
      <c r="Q59" s="1899"/>
      <c r="R59" s="1899"/>
      <c r="S59" s="1899"/>
      <c r="T59" s="1899"/>
      <c r="U59" s="1899"/>
      <c r="V59" s="1899"/>
      <c r="W59" s="1899"/>
      <c r="X59" s="1899"/>
    </row>
    <row r="60" spans="1:24">
      <c r="B60" s="2318"/>
      <c r="C60" s="2318"/>
      <c r="D60" s="2318"/>
      <c r="E60" s="2318"/>
      <c r="F60" s="2318"/>
      <c r="G60" s="2318"/>
      <c r="H60" s="2318"/>
      <c r="I60" s="2318"/>
      <c r="J60" s="2318"/>
      <c r="K60" s="1897"/>
      <c r="O60" s="1899"/>
      <c r="P60" s="1899"/>
      <c r="Q60" s="1899"/>
      <c r="R60" s="1899"/>
      <c r="S60" s="1899"/>
      <c r="T60" s="1899"/>
      <c r="U60" s="1899"/>
      <c r="V60" s="1899"/>
      <c r="W60" s="1899"/>
      <c r="X60" s="1899"/>
    </row>
    <row r="61" spans="1:24">
      <c r="B61" s="2318"/>
      <c r="C61" s="2318"/>
      <c r="D61" s="2318"/>
      <c r="E61" s="2318"/>
      <c r="F61" s="2318"/>
      <c r="G61" s="2318"/>
      <c r="H61" s="2318"/>
      <c r="I61" s="2318"/>
      <c r="J61" s="2318"/>
      <c r="K61" s="1897"/>
      <c r="O61" s="1899"/>
      <c r="P61" s="1899"/>
      <c r="Q61" s="1899"/>
      <c r="R61" s="1899"/>
      <c r="S61" s="1899"/>
      <c r="T61" s="1899"/>
      <c r="U61" s="1899"/>
      <c r="V61" s="1899"/>
      <c r="W61" s="1899"/>
      <c r="X61" s="1899"/>
    </row>
    <row r="62" spans="1:24">
      <c r="B62" s="2318"/>
      <c r="C62" s="2318"/>
      <c r="D62" s="2318"/>
      <c r="E62" s="2318"/>
      <c r="F62" s="2318"/>
      <c r="G62" s="2318"/>
      <c r="H62" s="2318"/>
      <c r="I62" s="2318"/>
      <c r="J62" s="2318"/>
      <c r="K62" s="1897"/>
      <c r="O62" s="1899"/>
      <c r="P62" s="1899"/>
      <c r="Q62" s="1899"/>
      <c r="R62" s="1899"/>
      <c r="S62" s="1899"/>
      <c r="T62" s="1899"/>
      <c r="U62" s="1899"/>
      <c r="V62" s="1899"/>
      <c r="W62" s="1899"/>
      <c r="X62" s="1899"/>
    </row>
    <row r="63" spans="1:24">
      <c r="B63" s="2318"/>
      <c r="C63" s="2318"/>
      <c r="D63" s="2318"/>
      <c r="E63" s="2318"/>
      <c r="F63" s="2318"/>
      <c r="G63" s="2318"/>
      <c r="H63" s="2318"/>
      <c r="I63" s="2318"/>
      <c r="J63" s="2318"/>
      <c r="K63" s="1897"/>
      <c r="O63" s="1899"/>
      <c r="P63" s="1899"/>
      <c r="Q63" s="1899"/>
      <c r="R63" s="1899"/>
      <c r="S63" s="1899"/>
      <c r="T63" s="1899"/>
      <c r="U63" s="1899"/>
      <c r="V63" s="1899"/>
      <c r="W63" s="1899"/>
      <c r="X63" s="1899"/>
    </row>
    <row r="64" spans="1:24" ht="5.15" customHeight="1">
      <c r="B64" s="1897"/>
      <c r="C64" s="1897"/>
      <c r="D64" s="1897"/>
      <c r="E64" s="1897"/>
      <c r="F64" s="1897"/>
      <c r="G64" s="1897"/>
      <c r="H64" s="1897"/>
      <c r="I64" s="1897"/>
      <c r="J64" s="1897"/>
      <c r="K64" s="1897"/>
      <c r="O64" s="1899"/>
      <c r="P64" s="1899"/>
      <c r="Q64" s="1899"/>
      <c r="R64" s="1899"/>
      <c r="S64" s="1899"/>
      <c r="T64" s="1899"/>
      <c r="U64" s="1899"/>
      <c r="V64" s="1899"/>
      <c r="W64" s="1899"/>
      <c r="X64" s="1899"/>
    </row>
    <row r="65" spans="1:24" ht="12.65" customHeight="1">
      <c r="A65" s="1828" t="s">
        <v>1384</v>
      </c>
      <c r="B65" s="1899" t="s">
        <v>1385</v>
      </c>
      <c r="C65" s="1899"/>
      <c r="D65" s="1899"/>
      <c r="E65" s="1899"/>
      <c r="F65" s="1899"/>
      <c r="G65" s="1899"/>
      <c r="H65" s="1899"/>
      <c r="I65" s="1899"/>
      <c r="J65" s="1899"/>
      <c r="K65" s="1897"/>
      <c r="O65" s="1899"/>
      <c r="P65" s="1899"/>
      <c r="Q65" s="1899"/>
      <c r="R65" s="1899"/>
      <c r="S65" s="1899"/>
      <c r="T65" s="1899"/>
      <c r="U65" s="1899"/>
      <c r="V65" s="1899"/>
      <c r="W65" s="1899"/>
      <c r="X65" s="1899"/>
    </row>
    <row r="66" spans="1:24" ht="5.15" customHeight="1">
      <c r="B66" s="1899"/>
      <c r="C66" s="1899"/>
      <c r="D66" s="1899"/>
      <c r="E66" s="1899"/>
      <c r="F66" s="1899"/>
      <c r="G66" s="1899"/>
      <c r="H66" s="1899"/>
      <c r="I66" s="1899"/>
      <c r="J66" s="1899"/>
      <c r="K66" s="1897"/>
      <c r="O66" s="1899"/>
      <c r="P66" s="1899"/>
      <c r="Q66" s="1899"/>
      <c r="R66" s="1899"/>
      <c r="S66" s="1899"/>
      <c r="T66" s="1899"/>
      <c r="U66" s="1899"/>
      <c r="V66" s="1899"/>
      <c r="W66" s="1899"/>
      <c r="X66" s="1899"/>
    </row>
    <row r="67" spans="1:24" ht="12.65" customHeight="1">
      <c r="A67" s="1828" t="s">
        <v>1386</v>
      </c>
      <c r="B67" s="2318" t="s">
        <v>1387</v>
      </c>
      <c r="C67" s="2318"/>
      <c r="D67" s="2318"/>
      <c r="E67" s="2318"/>
      <c r="F67" s="2318"/>
      <c r="G67" s="2318"/>
      <c r="H67" s="2318"/>
      <c r="I67" s="2318"/>
      <c r="J67" s="2318"/>
      <c r="K67" s="1897"/>
      <c r="O67" s="1899"/>
      <c r="P67" s="1899"/>
      <c r="Q67" s="1899"/>
      <c r="R67" s="1899"/>
      <c r="S67" s="1899"/>
      <c r="T67" s="1899"/>
      <c r="U67" s="1899"/>
      <c r="V67" s="1899"/>
      <c r="W67" s="1899"/>
      <c r="X67" s="1899"/>
    </row>
    <row r="68" spans="1:24" ht="12.65" customHeight="1">
      <c r="B68" s="2318"/>
      <c r="C68" s="2318"/>
      <c r="D68" s="2318"/>
      <c r="E68" s="2318"/>
      <c r="F68" s="2318"/>
      <c r="G68" s="2318"/>
      <c r="H68" s="2318"/>
      <c r="I68" s="2318"/>
      <c r="J68" s="2318"/>
      <c r="K68" s="1897"/>
      <c r="O68" s="1899"/>
      <c r="P68" s="1899"/>
      <c r="Q68" s="1899"/>
      <c r="R68" s="1899"/>
      <c r="S68" s="1899"/>
      <c r="T68" s="1899"/>
      <c r="U68" s="1899"/>
      <c r="V68" s="1899"/>
      <c r="W68" s="1899"/>
      <c r="X68" s="1899"/>
    </row>
    <row r="69" spans="1:24" ht="5.15" customHeight="1">
      <c r="B69" s="1897"/>
      <c r="C69" s="1897"/>
      <c r="D69" s="1897"/>
      <c r="E69" s="1897"/>
      <c r="F69" s="1897"/>
      <c r="G69" s="1897"/>
      <c r="H69" s="1897"/>
      <c r="I69" s="1897"/>
      <c r="J69" s="1897"/>
      <c r="K69" s="1897"/>
      <c r="O69" s="1899"/>
      <c r="P69" s="1899"/>
      <c r="Q69" s="1899"/>
      <c r="R69" s="1899"/>
      <c r="S69" s="1899"/>
      <c r="T69" s="1899"/>
      <c r="U69" s="1899"/>
      <c r="V69" s="1899"/>
      <c r="W69" s="1899"/>
      <c r="X69" s="1899"/>
    </row>
    <row r="70" spans="1:24" ht="12.65" customHeight="1">
      <c r="A70" s="1828" t="s">
        <v>1388</v>
      </c>
      <c r="B70" s="2318" t="s">
        <v>1389</v>
      </c>
      <c r="C70" s="2318"/>
      <c r="D70" s="2318"/>
      <c r="E70" s="2318"/>
      <c r="F70" s="2318"/>
      <c r="G70" s="2318"/>
      <c r="H70" s="2318"/>
      <c r="I70" s="2318"/>
      <c r="J70" s="2318"/>
      <c r="K70" s="1897"/>
      <c r="O70" s="1899"/>
      <c r="P70" s="1899"/>
      <c r="Q70" s="1899"/>
      <c r="R70" s="1899"/>
      <c r="S70" s="1899"/>
      <c r="T70" s="1899"/>
      <c r="U70" s="1899"/>
      <c r="V70" s="1899"/>
      <c r="W70" s="1899"/>
      <c r="X70" s="1899"/>
    </row>
    <row r="71" spans="1:24" ht="12.65" customHeight="1">
      <c r="B71" s="2318"/>
      <c r="C71" s="2318"/>
      <c r="D71" s="2318"/>
      <c r="E71" s="2318"/>
      <c r="F71" s="2318"/>
      <c r="G71" s="2318"/>
      <c r="H71" s="2318"/>
      <c r="I71" s="2318"/>
      <c r="J71" s="2318"/>
      <c r="K71" s="1897"/>
      <c r="O71" s="1899"/>
      <c r="P71" s="1899"/>
      <c r="Q71" s="1899"/>
      <c r="R71" s="1899"/>
      <c r="S71" s="1899"/>
      <c r="T71" s="1899"/>
      <c r="U71" s="1899"/>
      <c r="V71" s="1899"/>
      <c r="W71" s="1899"/>
      <c r="X71" s="1899"/>
    </row>
    <row r="72" spans="1:24" ht="5.15" customHeight="1">
      <c r="B72" s="1897"/>
      <c r="C72" s="1897"/>
      <c r="D72" s="1897"/>
      <c r="E72" s="1897"/>
      <c r="F72" s="1897"/>
      <c r="G72" s="1897"/>
      <c r="H72" s="1897"/>
      <c r="I72" s="1897"/>
      <c r="J72" s="1897"/>
      <c r="K72" s="1897"/>
      <c r="O72" s="1899"/>
      <c r="P72" s="1899"/>
      <c r="Q72" s="1899"/>
      <c r="R72" s="1899"/>
      <c r="S72" s="1899"/>
      <c r="T72" s="1899"/>
      <c r="U72" s="1899"/>
      <c r="V72" s="1899"/>
      <c r="W72" s="1899"/>
      <c r="X72" s="1899"/>
    </row>
    <row r="73" spans="1:24" ht="11.5" customHeight="1">
      <c r="A73" s="1900" t="s">
        <v>1390</v>
      </c>
      <c r="B73" s="2319" t="s">
        <v>1391</v>
      </c>
      <c r="C73" s="2319"/>
      <c r="D73" s="2319"/>
      <c r="E73" s="2319"/>
      <c r="F73" s="2319"/>
      <c r="G73" s="2319"/>
      <c r="H73" s="2319"/>
      <c r="I73" s="2319"/>
      <c r="J73" s="2319"/>
      <c r="K73" s="1897"/>
      <c r="X73" s="1899"/>
    </row>
    <row r="74" spans="1:24">
      <c r="B74" s="2319"/>
      <c r="C74" s="2319"/>
      <c r="D74" s="2319"/>
      <c r="E74" s="2319"/>
      <c r="F74" s="2319"/>
      <c r="G74" s="2319"/>
      <c r="H74" s="2319"/>
      <c r="I74" s="2319"/>
      <c r="J74" s="2319"/>
      <c r="K74" s="1897"/>
      <c r="X74" s="1899"/>
    </row>
    <row r="75" spans="1:24" ht="5.15" customHeight="1">
      <c r="B75" s="1900"/>
      <c r="C75" s="1897"/>
      <c r="D75" s="1897"/>
      <c r="E75" s="1897"/>
      <c r="F75" s="1897"/>
      <c r="G75" s="1897"/>
      <c r="H75" s="1897"/>
      <c r="I75" s="1897"/>
      <c r="J75" s="1897"/>
      <c r="K75" s="1897"/>
      <c r="O75" s="1900"/>
      <c r="P75" s="1899"/>
      <c r="Q75" s="1899"/>
      <c r="R75" s="1899"/>
      <c r="S75" s="1899"/>
      <c r="T75" s="1899"/>
      <c r="U75" s="1899"/>
      <c r="V75" s="1899"/>
      <c r="W75" s="1899"/>
      <c r="X75" s="1899"/>
    </row>
    <row r="76" spans="1:24" ht="11.5" customHeight="1">
      <c r="A76" s="1900" t="s">
        <v>1392</v>
      </c>
      <c r="B76" s="1899" t="str">
        <f>"The amount of excess amortization entries shown in lines "&amp;A13&amp;" through "&amp;A22&amp;"  and "&amp;A34&amp;" through "&amp;A41&amp;" are shown as a debit or credit to the ADIT account from which it is being amortized.  The totals in line "&amp;A29&amp;" and "&amp;A48&amp;" is the offset recorded to the 410/411 account."</f>
        <v>The amount of excess amortization entries shown in lines 1a through 1j  and 4a through 4h are shown as a debit or credit to the ADIT account from which it is being amortized.  The totals in line 3 and 6 is the offset recorded to the 410/411 account.</v>
      </c>
      <c r="C76" s="1899"/>
      <c r="D76" s="1899"/>
      <c r="E76" s="1899"/>
      <c r="F76" s="1899"/>
      <c r="G76" s="1899"/>
      <c r="H76" s="1899"/>
      <c r="I76" s="1899"/>
      <c r="J76" s="1897"/>
      <c r="O76" s="1899"/>
      <c r="P76" s="1899"/>
      <c r="Q76" s="1899"/>
      <c r="R76" s="1899"/>
      <c r="S76" s="1899"/>
      <c r="T76" s="1899"/>
      <c r="U76" s="1899"/>
      <c r="V76" s="1899"/>
      <c r="W76" s="1899"/>
    </row>
    <row r="77" spans="1:24" ht="11.5" customHeight="1">
      <c r="B77" s="1828"/>
      <c r="C77" s="1899"/>
      <c r="D77" s="1899"/>
      <c r="E77" s="1899"/>
      <c r="F77" s="1899"/>
      <c r="G77" s="1899"/>
      <c r="H77" s="1899"/>
      <c r="I77" s="1899"/>
      <c r="J77" s="1897"/>
      <c r="O77" s="1899"/>
      <c r="P77" s="1899"/>
      <c r="Q77" s="1899"/>
      <c r="R77" s="1899"/>
      <c r="S77" s="1899"/>
      <c r="T77" s="1899"/>
      <c r="U77" s="1899"/>
      <c r="V77" s="1899"/>
      <c r="W77" s="1899"/>
    </row>
    <row r="78" spans="1:24" ht="5.15" customHeight="1">
      <c r="B78" s="1899"/>
      <c r="C78" s="1899"/>
      <c r="D78" s="1899"/>
      <c r="E78" s="1899"/>
      <c r="F78" s="1899"/>
      <c r="G78" s="1899"/>
      <c r="H78" s="1899"/>
      <c r="I78" s="1899"/>
      <c r="O78" s="1899"/>
      <c r="P78" s="1899"/>
      <c r="Q78" s="1899"/>
      <c r="R78" s="1899"/>
      <c r="S78" s="1899"/>
      <c r="T78" s="1899"/>
      <c r="U78" s="1899"/>
      <c r="V78" s="1899"/>
    </row>
    <row r="79" spans="1:24" ht="11.5" customHeight="1">
      <c r="A79" s="1828" t="s">
        <v>1393</v>
      </c>
      <c r="B79" s="2319" t="s">
        <v>1503</v>
      </c>
      <c r="C79" s="2319"/>
      <c r="D79" s="2319"/>
      <c r="E79" s="2319"/>
      <c r="F79" s="2319"/>
      <c r="G79" s="2319"/>
      <c r="H79" s="2319"/>
      <c r="I79" s="2319"/>
    </row>
    <row r="80" spans="1:24">
      <c r="B80" s="2319"/>
      <c r="C80" s="2319"/>
      <c r="D80" s="2319"/>
      <c r="E80" s="2319"/>
      <c r="F80" s="2319"/>
      <c r="G80" s="2319"/>
      <c r="H80" s="2319"/>
      <c r="I80" s="2319"/>
    </row>
    <row r="82" spans="1:12">
      <c r="A82" s="1828" t="s">
        <v>1394</v>
      </c>
      <c r="B82" s="1901" t="s">
        <v>1395</v>
      </c>
    </row>
    <row r="84" spans="1:12">
      <c r="A84" s="1828" t="s">
        <v>1396</v>
      </c>
      <c r="B84" s="2316" t="s">
        <v>1397</v>
      </c>
      <c r="C84" s="2316"/>
      <c r="D84" s="2316"/>
      <c r="E84" s="2316"/>
      <c r="F84" s="2316"/>
      <c r="G84" s="2316"/>
      <c r="H84" s="2316"/>
      <c r="I84" s="2316"/>
      <c r="J84" s="2316"/>
    </row>
    <row r="85" spans="1:12">
      <c r="A85" s="1896"/>
      <c r="B85" s="2316"/>
      <c r="C85" s="2316"/>
      <c r="D85" s="2316"/>
      <c r="E85" s="2316"/>
      <c r="F85" s="2316"/>
      <c r="G85" s="2316"/>
      <c r="H85" s="2316"/>
      <c r="I85" s="2316"/>
      <c r="J85" s="2316"/>
      <c r="K85" s="1896"/>
    </row>
    <row r="86" spans="1:12">
      <c r="A86" s="1896"/>
      <c r="B86" s="1896"/>
      <c r="C86" s="1896"/>
      <c r="D86" s="1896"/>
      <c r="E86" s="1896"/>
      <c r="F86" s="1896"/>
      <c r="G86" s="1896"/>
      <c r="H86" s="1896"/>
      <c r="I86" s="1896"/>
      <c r="J86" s="1896"/>
      <c r="K86" s="1896"/>
    </row>
    <row r="87" spans="1:12" ht="12" customHeight="1">
      <c r="A87" s="1828" t="s">
        <v>1398</v>
      </c>
      <c r="B87" s="2317" t="s">
        <v>1502</v>
      </c>
      <c r="C87" s="2317"/>
      <c r="D87" s="2317"/>
      <c r="E87" s="2317"/>
      <c r="F87" s="2317"/>
      <c r="G87" s="2317"/>
      <c r="H87" s="2317"/>
      <c r="I87" s="2317"/>
      <c r="J87" s="2317"/>
      <c r="K87" s="2317"/>
      <c r="L87" s="2317"/>
    </row>
    <row r="88" spans="1:12">
      <c r="A88" s="1896"/>
      <c r="B88" s="2317"/>
      <c r="C88" s="2317"/>
      <c r="D88" s="2317"/>
      <c r="E88" s="2317"/>
      <c r="F88" s="2317"/>
      <c r="G88" s="2317"/>
      <c r="H88" s="2317"/>
      <c r="I88" s="2317"/>
      <c r="J88" s="2317"/>
      <c r="K88" s="2317"/>
      <c r="L88" s="2317"/>
    </row>
    <row r="89" spans="1:12">
      <c r="A89" s="1896"/>
      <c r="B89" s="2317"/>
      <c r="C89" s="2317"/>
      <c r="D89" s="2317"/>
      <c r="E89" s="2317"/>
      <c r="F89" s="2317"/>
      <c r="G89" s="2317"/>
      <c r="H89" s="2317"/>
      <c r="I89" s="2317"/>
      <c r="J89" s="2317"/>
      <c r="K89" s="2317"/>
      <c r="L89" s="2317"/>
    </row>
    <row r="90" spans="1:12">
      <c r="A90" s="1896"/>
      <c r="B90" s="2317"/>
      <c r="C90" s="2317"/>
      <c r="D90" s="2317"/>
      <c r="E90" s="2317"/>
      <c r="F90" s="2317"/>
      <c r="G90" s="2317"/>
      <c r="H90" s="2317"/>
      <c r="I90" s="2317"/>
      <c r="J90" s="2317"/>
      <c r="K90" s="2317"/>
      <c r="L90" s="2317"/>
    </row>
    <row r="91" spans="1:12">
      <c r="A91" s="1896"/>
      <c r="B91" s="2317"/>
      <c r="C91" s="2317"/>
      <c r="D91" s="2317"/>
      <c r="E91" s="2317"/>
      <c r="F91" s="2317"/>
      <c r="G91" s="2317"/>
      <c r="H91" s="2317"/>
      <c r="I91" s="2317"/>
      <c r="J91" s="2317"/>
      <c r="K91" s="2317"/>
      <c r="L91" s="2317"/>
    </row>
    <row r="92" spans="1:12">
      <c r="A92" s="1896"/>
      <c r="B92" s="2039"/>
      <c r="C92" s="2039"/>
      <c r="D92" s="2039"/>
      <c r="E92" s="2039"/>
      <c r="F92" s="2039"/>
      <c r="G92" s="2039"/>
      <c r="H92" s="2039"/>
      <c r="I92" s="2039"/>
      <c r="J92" s="2039"/>
      <c r="K92" s="1896"/>
    </row>
    <row r="93" spans="1:12">
      <c r="A93" s="1896"/>
      <c r="B93" s="2039"/>
      <c r="C93" s="2039"/>
      <c r="D93" s="2039"/>
      <c r="E93" s="2039"/>
      <c r="F93" s="2039"/>
      <c r="G93" s="2039"/>
      <c r="H93" s="2039"/>
      <c r="I93" s="2039"/>
      <c r="J93" s="2039"/>
      <c r="K93" s="1896"/>
    </row>
    <row r="94" spans="1:12">
      <c r="A94" s="1896"/>
      <c r="B94" s="1896"/>
      <c r="C94" s="1896"/>
      <c r="D94" s="1896"/>
      <c r="E94" s="1896"/>
      <c r="F94" s="1896"/>
      <c r="G94" s="1896"/>
      <c r="H94" s="1896"/>
      <c r="I94" s="1896"/>
      <c r="J94" s="1896"/>
      <c r="K94" s="1896"/>
    </row>
    <row r="95" spans="1:12">
      <c r="A95" s="1896"/>
      <c r="B95" s="1896"/>
      <c r="C95" s="1896"/>
      <c r="D95" s="1896"/>
      <c r="E95" s="1896"/>
      <c r="F95" s="1896"/>
      <c r="G95" s="1896"/>
      <c r="H95" s="1896"/>
      <c r="I95" s="1896"/>
      <c r="J95" s="1896"/>
      <c r="K95" s="1896"/>
    </row>
    <row r="102" spans="1:11">
      <c r="B102" s="1900"/>
    </row>
    <row r="103" spans="1:11">
      <c r="B103" s="1828"/>
    </row>
    <row r="104" spans="1:11">
      <c r="B104" s="1828"/>
    </row>
    <row r="105" spans="1:11">
      <c r="B105" s="1828"/>
    </row>
    <row r="106" spans="1:11">
      <c r="B106" s="1828"/>
    </row>
    <row r="107" spans="1:11">
      <c r="A107" s="1920"/>
      <c r="B107" s="1896"/>
      <c r="C107" s="1896"/>
      <c r="D107" s="1896"/>
      <c r="E107" s="1896"/>
      <c r="F107" s="1896"/>
      <c r="G107" s="1896"/>
      <c r="H107" s="1896"/>
      <c r="I107" s="1896"/>
      <c r="J107" s="1896"/>
      <c r="K107" s="1896"/>
    </row>
    <row r="108" spans="1:11">
      <c r="A108" s="1896"/>
      <c r="B108" s="1896"/>
      <c r="C108" s="1896"/>
      <c r="D108" s="1896"/>
      <c r="E108" s="1896"/>
      <c r="F108" s="1896"/>
      <c r="G108" s="1896"/>
      <c r="H108" s="1896"/>
      <c r="I108" s="1896"/>
      <c r="J108" s="1896"/>
      <c r="K108" s="1896"/>
    </row>
    <row r="109" spans="1:11">
      <c r="A109" s="1896"/>
      <c r="B109" s="1896"/>
      <c r="C109" s="1896"/>
      <c r="D109" s="1896"/>
      <c r="E109" s="1896"/>
      <c r="F109" s="1896"/>
      <c r="G109" s="1896"/>
      <c r="H109" s="1896"/>
      <c r="I109" s="1896"/>
      <c r="J109" s="1896"/>
      <c r="K109" s="1896"/>
    </row>
    <row r="110" spans="1:11">
      <c r="A110" s="1896"/>
      <c r="B110" s="1896"/>
      <c r="C110" s="1896"/>
      <c r="D110" s="1896"/>
      <c r="E110" s="1896"/>
      <c r="F110" s="1896"/>
      <c r="G110" s="1896"/>
      <c r="H110" s="1896"/>
      <c r="I110" s="1896"/>
      <c r="J110" s="1896"/>
      <c r="K110" s="1896"/>
    </row>
    <row r="111" spans="1:11">
      <c r="A111" s="1896"/>
      <c r="B111" s="1896"/>
      <c r="C111" s="1896"/>
      <c r="D111" s="1921"/>
      <c r="E111" s="1921"/>
      <c r="F111" s="1921"/>
      <c r="G111" s="1896"/>
      <c r="H111" s="1896"/>
      <c r="I111" s="1896"/>
      <c r="J111" s="1896"/>
      <c r="K111" s="1896"/>
    </row>
    <row r="112" spans="1:11">
      <c r="A112" s="1896"/>
      <c r="B112" s="1896"/>
      <c r="C112" s="1896"/>
      <c r="D112" s="1918"/>
      <c r="E112" s="1918"/>
      <c r="F112" s="1918"/>
      <c r="G112" s="1896"/>
      <c r="H112" s="1896"/>
      <c r="I112" s="1896"/>
      <c r="J112" s="1896"/>
      <c r="K112" s="1896"/>
    </row>
    <row r="113" spans="1:11">
      <c r="A113" s="1896"/>
      <c r="B113" s="1896"/>
      <c r="C113" s="1896"/>
      <c r="D113" s="1921"/>
      <c r="E113" s="1921"/>
      <c r="F113" s="1921"/>
      <c r="G113" s="1896"/>
      <c r="H113" s="1896"/>
      <c r="I113" s="1896"/>
      <c r="J113" s="1896"/>
      <c r="K113" s="1896"/>
    </row>
    <row r="114" spans="1:11">
      <c r="A114" s="1896"/>
      <c r="B114" s="1896"/>
      <c r="C114" s="1896"/>
      <c r="D114" s="1896"/>
      <c r="E114" s="1896"/>
      <c r="F114" s="1896"/>
      <c r="G114" s="1896"/>
      <c r="H114" s="1896"/>
      <c r="I114" s="1896"/>
      <c r="J114" s="1896"/>
      <c r="K114" s="1896"/>
    </row>
    <row r="115" spans="1:11">
      <c r="A115" s="1896"/>
      <c r="B115" s="1896"/>
      <c r="C115" s="1896"/>
      <c r="D115" s="1896"/>
      <c r="E115" s="1896"/>
      <c r="F115" s="1896"/>
      <c r="G115" s="1896"/>
      <c r="H115" s="1896"/>
      <c r="I115" s="1896"/>
      <c r="J115" s="1896"/>
      <c r="K115" s="1896"/>
    </row>
    <row r="116" spans="1:11">
      <c r="A116" s="1896"/>
      <c r="B116" s="1896"/>
      <c r="C116" s="1896"/>
      <c r="D116" s="1896"/>
      <c r="E116" s="1896"/>
      <c r="F116" s="1896"/>
      <c r="G116" s="1896"/>
      <c r="H116" s="1896"/>
      <c r="I116" s="1896"/>
      <c r="J116" s="1896"/>
      <c r="K116" s="1896"/>
    </row>
    <row r="117" spans="1:11">
      <c r="A117" s="1896"/>
      <c r="C117" s="1896"/>
      <c r="D117" s="1896"/>
      <c r="E117" s="1896"/>
      <c r="F117" s="1896"/>
      <c r="G117" s="1896"/>
      <c r="H117" s="1896"/>
      <c r="I117" s="1896"/>
      <c r="J117" s="1896"/>
      <c r="K117" s="1896"/>
    </row>
    <row r="118" spans="1:11">
      <c r="A118" s="1896"/>
      <c r="B118" s="1896"/>
      <c r="C118" s="1896"/>
      <c r="D118" s="1896"/>
      <c r="E118" s="1896"/>
      <c r="F118" s="1896"/>
      <c r="G118" s="1896"/>
      <c r="H118" s="1896"/>
      <c r="I118" s="1896"/>
      <c r="J118" s="1896"/>
      <c r="K118" s="1896"/>
    </row>
    <row r="119" spans="1:11">
      <c r="A119" s="1896"/>
      <c r="B119" s="1896"/>
      <c r="C119" s="1896"/>
      <c r="D119" s="1896"/>
      <c r="E119" s="1896"/>
      <c r="F119" s="1896"/>
      <c r="G119" s="1896"/>
      <c r="H119" s="1896"/>
      <c r="I119" s="1896"/>
      <c r="J119" s="1896"/>
      <c r="K119" s="1896"/>
    </row>
  </sheetData>
  <mergeCells count="16">
    <mergeCell ref="P9:Q9"/>
    <mergeCell ref="P11:Q11"/>
    <mergeCell ref="B29:C29"/>
    <mergeCell ref="P32:Q32"/>
    <mergeCell ref="B48:C48"/>
    <mergeCell ref="B87:L91"/>
    <mergeCell ref="B53:K56"/>
    <mergeCell ref="I9:J9"/>
    <mergeCell ref="K9:M9"/>
    <mergeCell ref="N9:O9"/>
    <mergeCell ref="B84:J85"/>
    <mergeCell ref="B58:J63"/>
    <mergeCell ref="B67:J68"/>
    <mergeCell ref="B70:J71"/>
    <mergeCell ref="B73:J74"/>
    <mergeCell ref="B79:I80"/>
  </mergeCells>
  <pageMargins left="0.7" right="0.7" top="0.75" bottom="0.75" header="0.3" footer="0.3"/>
  <pageSetup scale="1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E95"/>
  <sheetViews>
    <sheetView topLeftCell="A28" zoomScale="85" zoomScaleNormal="85" zoomScaleSheetLayoutView="80" zoomScalePageLayoutView="70" workbookViewId="0">
      <pane xSplit="2" topLeftCell="O1" activePane="topRight" state="frozen"/>
      <selection activeCell="A14" sqref="A14"/>
      <selection pane="topRight" activeCell="J19" sqref="J19"/>
    </sheetView>
  </sheetViews>
  <sheetFormatPr defaultColWidth="11.453125" defaultRowHeight="12.5"/>
  <cols>
    <col min="1" max="1" width="12.54296875" style="1382" customWidth="1"/>
    <col min="2" max="2" width="15.453125" style="1375" customWidth="1"/>
    <col min="3" max="3" width="42.453125" style="1375" customWidth="1"/>
    <col min="4" max="4" width="22.1796875" style="1375" customWidth="1"/>
    <col min="5" max="5" width="21" style="1375" customWidth="1"/>
    <col min="6" max="6" width="1" style="1375" customWidth="1"/>
    <col min="7" max="7" width="24" style="1375" customWidth="1"/>
    <col min="8" max="8" width="1" style="1375" customWidth="1"/>
    <col min="9" max="9" width="19.1796875" style="1375" customWidth="1"/>
    <col min="10" max="10" width="16.54296875" style="1375" customWidth="1"/>
    <col min="11" max="11" width="49.81640625" style="1375" customWidth="1"/>
    <col min="12" max="13" width="13.453125" style="1375" customWidth="1"/>
    <col min="14" max="14" width="34.81640625" style="1375" customWidth="1"/>
    <col min="15" max="15" width="29.453125" style="1375" customWidth="1"/>
    <col min="16" max="16" width="21.1796875" style="1375" customWidth="1"/>
    <col min="17" max="29" width="14.453125" style="1375" customWidth="1"/>
    <col min="30" max="16384" width="11.453125" style="1375"/>
  </cols>
  <sheetData>
    <row r="1" spans="1:29" ht="15.5">
      <c r="A1" s="1374"/>
      <c r="K1" s="1317"/>
      <c r="M1" s="1374"/>
      <c r="AC1" s="1317"/>
    </row>
    <row r="2" spans="1:29" ht="15.5">
      <c r="A2" s="2402" t="str">
        <f>+'SWEPCO TCOS'!F4</f>
        <v xml:space="preserve">AEP West SPP Member Operating Companies </v>
      </c>
      <c r="B2" s="2402"/>
      <c r="C2" s="2402"/>
      <c r="D2" s="2402"/>
      <c r="E2" s="2402"/>
      <c r="F2" s="2402"/>
      <c r="G2" s="2402"/>
      <c r="H2" s="2402"/>
      <c r="I2" s="2402"/>
      <c r="J2" s="2402"/>
      <c r="K2" s="2402"/>
      <c r="L2" s="47"/>
      <c r="M2" s="2402" t="str">
        <f>+A2</f>
        <v xml:space="preserve">AEP West SPP Member Operating Companies </v>
      </c>
      <c r="N2" s="2402"/>
      <c r="O2" s="2402"/>
      <c r="P2" s="2402"/>
      <c r="Q2" s="2402"/>
      <c r="R2" s="2402"/>
      <c r="S2" s="2402"/>
      <c r="T2" s="2402"/>
      <c r="U2" s="2402"/>
      <c r="V2" s="2402"/>
      <c r="W2" s="2402"/>
      <c r="X2" s="2402"/>
      <c r="Y2" s="2402"/>
    </row>
    <row r="3" spans="1:29" ht="15.5">
      <c r="A3" s="2402" t="str">
        <f>+'SWEPCO WS A-1 - Plant'!A3</f>
        <v xml:space="preserve">Actual / Projected 2024 Rate Year Cost of Service Formula Rate </v>
      </c>
      <c r="B3" s="2402"/>
      <c r="C3" s="2402"/>
      <c r="D3" s="2402"/>
      <c r="E3" s="2402"/>
      <c r="F3" s="2402"/>
      <c r="G3" s="2402"/>
      <c r="H3" s="2402"/>
      <c r="I3" s="2402"/>
      <c r="J3" s="2402"/>
      <c r="K3" s="2402"/>
      <c r="L3" s="874"/>
      <c r="M3" s="2402" t="str">
        <f>+A3</f>
        <v xml:space="preserve">Actual / Projected 2024 Rate Year Cost of Service Formula Rate </v>
      </c>
      <c r="N3" s="2402"/>
      <c r="O3" s="2402"/>
      <c r="P3" s="2402"/>
      <c r="Q3" s="2402"/>
      <c r="R3" s="2402"/>
      <c r="S3" s="2402"/>
      <c r="T3" s="2402"/>
      <c r="U3" s="2402"/>
      <c r="V3" s="2402"/>
      <c r="W3" s="2402"/>
      <c r="X3" s="2402"/>
      <c r="Y3" s="2402"/>
    </row>
    <row r="4" spans="1:29" ht="15.5">
      <c r="A4" s="2403" t="s">
        <v>932</v>
      </c>
      <c r="B4" s="2402"/>
      <c r="C4" s="2402"/>
      <c r="D4" s="2402"/>
      <c r="E4" s="2402"/>
      <c r="F4" s="2402"/>
      <c r="G4" s="2402"/>
      <c r="H4" s="2402"/>
      <c r="I4" s="2402"/>
      <c r="J4" s="2402"/>
      <c r="K4" s="2402"/>
      <c r="L4" s="1376"/>
      <c r="M4" s="2402" t="str">
        <f>+A4</f>
        <v>Worksheet D - Materials and Supplies and Prepayments</v>
      </c>
      <c r="N4" s="2402"/>
      <c r="O4" s="2402"/>
      <c r="P4" s="2402"/>
      <c r="Q4" s="2402"/>
      <c r="R4" s="2402"/>
      <c r="S4" s="2402"/>
      <c r="T4" s="2402"/>
      <c r="U4" s="2402"/>
      <c r="V4" s="2402"/>
      <c r="W4" s="2402"/>
      <c r="X4" s="2402"/>
      <c r="Y4" s="2402"/>
    </row>
    <row r="5" spans="1:29" ht="15.5">
      <c r="A5" s="2340" t="str">
        <f>+'SWEPCO TCOS'!F8</f>
        <v>SOUTHWESTERN ELECTRIC POWER COMPANY</v>
      </c>
      <c r="B5" s="2340"/>
      <c r="C5" s="2340"/>
      <c r="D5" s="2340"/>
      <c r="E5" s="2340"/>
      <c r="F5" s="2340"/>
      <c r="G5" s="2340"/>
      <c r="H5" s="2340"/>
      <c r="I5" s="2340"/>
      <c r="J5" s="2340"/>
      <c r="K5" s="2340"/>
      <c r="L5" s="115"/>
      <c r="M5" s="2403" t="str">
        <f>+A5</f>
        <v>SOUTHWESTERN ELECTRIC POWER COMPANY</v>
      </c>
      <c r="N5" s="2403"/>
      <c r="O5" s="2403"/>
      <c r="P5" s="2403"/>
      <c r="Q5" s="2403"/>
      <c r="R5" s="2403"/>
      <c r="S5" s="2403"/>
      <c r="T5" s="2403"/>
      <c r="U5" s="2403"/>
      <c r="V5" s="2403"/>
      <c r="W5" s="2403"/>
      <c r="X5" s="2403"/>
      <c r="Y5" s="2403"/>
    </row>
    <row r="6" spans="1:29" ht="15.5">
      <c r="A6" s="115"/>
      <c r="B6" s="115"/>
      <c r="C6" s="115"/>
      <c r="D6" s="115"/>
      <c r="E6" s="115"/>
      <c r="F6" s="115"/>
      <c r="G6" s="115"/>
      <c r="H6" s="286"/>
      <c r="M6" s="115"/>
      <c r="N6" s="115"/>
      <c r="O6" s="115"/>
      <c r="P6" s="115"/>
      <c r="Q6" s="115"/>
      <c r="R6" s="115"/>
      <c r="S6" s="115"/>
      <c r="T6" s="115"/>
      <c r="U6" s="286"/>
    </row>
    <row r="7" spans="1:29" ht="12.75" customHeight="1">
      <c r="A7" s="1377"/>
      <c r="B7" s="1377" t="s">
        <v>301</v>
      </c>
      <c r="C7" s="1377" t="s">
        <v>302</v>
      </c>
      <c r="D7" s="1377" t="s">
        <v>205</v>
      </c>
      <c r="E7" s="1377" t="s">
        <v>304</v>
      </c>
      <c r="F7" s="1377"/>
      <c r="G7" s="1377" t="s">
        <v>229</v>
      </c>
      <c r="H7" s="1377"/>
      <c r="I7" s="1377" t="s">
        <v>230</v>
      </c>
      <c r="J7" s="1377" t="s">
        <v>231</v>
      </c>
      <c r="K7" s="1377" t="s">
        <v>236</v>
      </c>
      <c r="L7" s="1377"/>
      <c r="M7" s="1377" t="s">
        <v>301</v>
      </c>
      <c r="N7" s="1377" t="s">
        <v>302</v>
      </c>
      <c r="O7" s="1377" t="s">
        <v>205</v>
      </c>
      <c r="P7" s="1377" t="s">
        <v>304</v>
      </c>
      <c r="Q7" s="1377" t="s">
        <v>229</v>
      </c>
      <c r="R7" s="1377" t="s">
        <v>230</v>
      </c>
      <c r="S7" s="1377" t="s">
        <v>231</v>
      </c>
      <c r="T7" s="1377" t="s">
        <v>236</v>
      </c>
      <c r="U7" s="1377" t="s">
        <v>177</v>
      </c>
      <c r="V7" s="1377" t="s">
        <v>73</v>
      </c>
      <c r="W7" s="1377" t="s">
        <v>881</v>
      </c>
      <c r="X7" s="1377" t="s">
        <v>556</v>
      </c>
      <c r="Y7" s="1377" t="s">
        <v>557</v>
      </c>
      <c r="Z7" s="1377" t="s">
        <v>882</v>
      </c>
      <c r="AA7" s="1377" t="s">
        <v>558</v>
      </c>
      <c r="AB7" s="1377" t="s">
        <v>884</v>
      </c>
      <c r="AC7" s="1377" t="s">
        <v>887</v>
      </c>
    </row>
    <row r="8" spans="1:29" ht="13">
      <c r="A8" s="1378"/>
      <c r="M8" s="1378"/>
    </row>
    <row r="9" spans="1:29" ht="18">
      <c r="A9" s="1378"/>
      <c r="B9" s="2426" t="s">
        <v>346</v>
      </c>
      <c r="C9" s="2426"/>
      <c r="D9" s="2426"/>
      <c r="E9" s="2426"/>
      <c r="F9" s="2426"/>
      <c r="G9" s="2426"/>
      <c r="H9" s="2426"/>
      <c r="I9" s="2426"/>
      <c r="J9" s="2426"/>
      <c r="K9" s="2426"/>
      <c r="M9" s="2426" t="s">
        <v>346</v>
      </c>
      <c r="N9" s="2426"/>
      <c r="O9" s="2426"/>
      <c r="P9" s="2426"/>
      <c r="Q9" s="2426"/>
      <c r="R9" s="2426"/>
      <c r="S9" s="2426"/>
      <c r="T9" s="2426"/>
      <c r="U9" s="2426"/>
      <c r="V9" s="2426"/>
      <c r="W9" s="2426"/>
      <c r="X9" s="2426"/>
      <c r="Y9" s="2426"/>
      <c r="Z9" s="2426"/>
      <c r="AA9" s="2426"/>
      <c r="AB9" s="2426"/>
      <c r="AC9" s="2426"/>
    </row>
    <row r="10" spans="1:29" ht="13">
      <c r="A10" s="1378"/>
      <c r="I10" s="286"/>
      <c r="J10" s="286"/>
    </row>
    <row r="11" spans="1:29" ht="30" customHeight="1">
      <c r="A11" s="16"/>
      <c r="B11" s="1378"/>
      <c r="C11" s="1379"/>
      <c r="D11" s="288"/>
      <c r="E11"/>
      <c r="F11"/>
      <c r="G11" s="2338" t="str">
        <f>"13 Month Average Balance for Rate Year "</f>
        <v xml:space="preserve">13 Month Average Balance for Rate Year </v>
      </c>
      <c r="H11" s="1380"/>
      <c r="J11" s="286"/>
      <c r="K11" s="1377"/>
      <c r="L11" s="16"/>
      <c r="M11" s="1381"/>
      <c r="N11" s="1381"/>
      <c r="O11" s="1381"/>
      <c r="P11" s="1381"/>
      <c r="Q11" s="2425" t="s">
        <v>880</v>
      </c>
      <c r="R11" s="2425"/>
      <c r="S11" s="2425"/>
      <c r="T11" s="2425"/>
      <c r="U11" s="2425"/>
      <c r="V11" s="2425"/>
      <c r="W11" s="2425"/>
      <c r="X11" s="2425"/>
      <c r="Y11" s="2425"/>
      <c r="Z11" s="2425"/>
      <c r="AA11" s="2425"/>
      <c r="AB11" s="2425"/>
      <c r="AC11" s="2425"/>
    </row>
    <row r="12" spans="1:29" ht="25.5">
      <c r="A12" s="880" t="s">
        <v>883</v>
      </c>
      <c r="B12" s="1382"/>
      <c r="C12" s="1378"/>
      <c r="D12" s="1383" t="s">
        <v>345</v>
      </c>
      <c r="E12"/>
      <c r="F12"/>
      <c r="G12" s="2339"/>
      <c r="H12" s="1384"/>
      <c r="J12" s="286"/>
      <c r="K12" s="1385"/>
      <c r="L12" s="16" t="s">
        <v>883</v>
      </c>
      <c r="M12" s="16" t="s">
        <v>306</v>
      </c>
      <c r="N12" s="1381"/>
      <c r="O12" s="1386" t="s">
        <v>888</v>
      </c>
      <c r="P12" s="1386" t="s">
        <v>1227</v>
      </c>
      <c r="Q12" s="1387" t="str">
        <f>"December "&amp;'SWEPCO TCOS'!$N$2-1</f>
        <v>December 2023</v>
      </c>
      <c r="R12" s="1387" t="str">
        <f>"January "&amp;'SWEPCO TCOS'!$N$2</f>
        <v>January 2024</v>
      </c>
      <c r="S12" s="1387" t="str">
        <f>"February "&amp;'SWEPCO TCOS'!$N$2</f>
        <v>February 2024</v>
      </c>
      <c r="T12" s="1387" t="str">
        <f>"March "&amp;'SWEPCO TCOS'!$N$2</f>
        <v>March 2024</v>
      </c>
      <c r="U12" s="1387" t="str">
        <f>"April "&amp;'SWEPCO TCOS'!$N$2</f>
        <v>April 2024</v>
      </c>
      <c r="V12" s="1387" t="str">
        <f>"May "&amp;'SWEPCO TCOS'!$N$2</f>
        <v>May 2024</v>
      </c>
      <c r="W12" s="1387" t="str">
        <f>"June "&amp;'SWEPCO TCOS'!$N$2</f>
        <v>June 2024</v>
      </c>
      <c r="X12" s="1387" t="str">
        <f>"July "&amp;'SWEPCO TCOS'!$N$2</f>
        <v>July 2024</v>
      </c>
      <c r="Y12" s="1387" t="str">
        <f>"August "&amp;'SWEPCO TCOS'!$N$2</f>
        <v>August 2024</v>
      </c>
      <c r="Z12" s="1387" t="str">
        <f>"September "&amp;'SWEPCO TCOS'!$N$2</f>
        <v>September 2024</v>
      </c>
      <c r="AA12" s="1387" t="str">
        <f>"October "&amp;'SWEPCO TCOS'!$N$2</f>
        <v>October 2024</v>
      </c>
      <c r="AB12" s="1387" t="str">
        <f>"November "&amp;'SWEPCO TCOS'!$N$2</f>
        <v>November 2024</v>
      </c>
      <c r="AC12" s="1387" t="str">
        <f>"December "&amp;'SWEPCO TCOS'!$N$2</f>
        <v>December 2024</v>
      </c>
    </row>
    <row r="13" spans="1:29" ht="13">
      <c r="B13" s="1382"/>
      <c r="C13" s="1378"/>
      <c r="E13"/>
      <c r="F13"/>
      <c r="H13" s="1388"/>
      <c r="J13" s="286"/>
      <c r="K13" s="1385"/>
      <c r="L13" s="1381"/>
      <c r="M13" s="1381"/>
      <c r="N13" s="1381"/>
      <c r="O13" s="1381"/>
      <c r="P13" s="1381"/>
      <c r="Q13" s="1381"/>
    </row>
    <row r="14" spans="1:29">
      <c r="B14" s="1382"/>
      <c r="D14" s="892"/>
      <c r="E14"/>
      <c r="F14"/>
      <c r="G14" s="1319"/>
      <c r="H14" s="1319"/>
      <c r="K14" s="1319"/>
      <c r="L14" s="1381"/>
      <c r="M14" s="1381"/>
      <c r="N14" s="1381"/>
      <c r="O14" s="1381"/>
      <c r="P14" s="1381"/>
      <c r="Q14" s="1381"/>
    </row>
    <row r="15" spans="1:29">
      <c r="B15" s="1382"/>
      <c r="C15" s="892"/>
      <c r="D15" s="892"/>
      <c r="E15"/>
      <c r="F15"/>
      <c r="G15" s="1319"/>
      <c r="H15" s="1319"/>
      <c r="K15" s="1319"/>
      <c r="L15" s="1381"/>
      <c r="M15" s="1381"/>
      <c r="N15" s="1381"/>
      <c r="O15" s="1381"/>
      <c r="P15" s="1389"/>
      <c r="Q15" s="1381"/>
    </row>
    <row r="16" spans="1:29">
      <c r="A16" s="1382">
        <v>1</v>
      </c>
      <c r="B16" s="1382"/>
      <c r="C16" s="892" t="s">
        <v>195</v>
      </c>
      <c r="D16" s="1390" t="s">
        <v>934</v>
      </c>
      <c r="E16"/>
      <c r="F16"/>
      <c r="G16" s="1391">
        <f>+P16</f>
        <v>292949.25585395063</v>
      </c>
      <c r="H16" s="1319"/>
      <c r="K16" s="1319"/>
      <c r="L16" s="1381">
        <v>1</v>
      </c>
      <c r="M16" s="892" t="s">
        <v>195</v>
      </c>
      <c r="O16" s="1390" t="s">
        <v>133</v>
      </c>
      <c r="P16" s="1750">
        <f t="shared" ref="P16:P18" si="0">SUM(Q16:AC16)/13</f>
        <v>292949.25585395063</v>
      </c>
      <c r="Q16" s="779">
        <v>37720.870000000003</v>
      </c>
      <c r="R16" s="779">
        <v>147793.38</v>
      </c>
      <c r="S16" s="779">
        <v>60544.1</v>
      </c>
      <c r="T16" s="779">
        <v>171974.6</v>
      </c>
      <c r="U16" s="779">
        <v>1521916.27</v>
      </c>
      <c r="V16" s="779">
        <v>483461.76</v>
      </c>
      <c r="W16" s="779">
        <v>391918</v>
      </c>
      <c r="X16" s="779">
        <v>108721.62</v>
      </c>
      <c r="Y16" s="779">
        <v>82302.826465667502</v>
      </c>
      <c r="Z16" s="779">
        <v>377367.38</v>
      </c>
      <c r="AA16" s="779">
        <v>82106.97</v>
      </c>
      <c r="AB16" s="779">
        <v>123651.76</v>
      </c>
      <c r="AC16" s="779">
        <v>218860.78963569054</v>
      </c>
    </row>
    <row r="17" spans="1:31">
      <c r="A17" s="1382">
        <f>+A16+1</f>
        <v>2</v>
      </c>
      <c r="B17" s="1382"/>
      <c r="C17" s="892" t="s">
        <v>196</v>
      </c>
      <c r="D17" s="1390" t="s">
        <v>936</v>
      </c>
      <c r="E17"/>
      <c r="F17"/>
      <c r="G17" s="1391">
        <f t="shared" ref="G17:G18" si="1">+P17</f>
        <v>310854.83680867398</v>
      </c>
      <c r="H17" s="1388"/>
      <c r="J17" s="286"/>
      <c r="K17" s="1385"/>
      <c r="L17" s="1382">
        <f>+L16+1</f>
        <v>2</v>
      </c>
      <c r="M17" s="892" t="s">
        <v>196</v>
      </c>
      <c r="O17" s="1390" t="s">
        <v>134</v>
      </c>
      <c r="P17" s="1750">
        <f t="shared" si="0"/>
        <v>310854.83680867398</v>
      </c>
      <c r="Q17" s="2455">
        <v>217605.89</v>
      </c>
      <c r="R17" s="2455">
        <v>165316.79999999999</v>
      </c>
      <c r="S17" s="2455">
        <v>234723.27</v>
      </c>
      <c r="T17" s="2455">
        <v>227448.43</v>
      </c>
      <c r="U17" s="2455">
        <v>338034.65</v>
      </c>
      <c r="V17" s="2455">
        <v>198040.38</v>
      </c>
      <c r="W17" s="2455">
        <v>116791.4</v>
      </c>
      <c r="X17" s="2455">
        <v>247249.59</v>
      </c>
      <c r="Y17" s="2455">
        <v>71297.740000000005</v>
      </c>
      <c r="Z17" s="2455">
        <v>554990.81000000006</v>
      </c>
      <c r="AA17" s="2455">
        <v>1222412.3400000001</v>
      </c>
      <c r="AB17" s="2455">
        <v>178894.5</v>
      </c>
      <c r="AC17" s="2455">
        <v>268307.07851276157</v>
      </c>
    </row>
    <row r="18" spans="1:31">
      <c r="A18" s="1382">
        <f>+A17+1</f>
        <v>3</v>
      </c>
      <c r="B18" s="1382"/>
      <c r="C18" s="892" t="s">
        <v>933</v>
      </c>
      <c r="D18" s="1390" t="s">
        <v>935</v>
      </c>
      <c r="E18"/>
      <c r="F18"/>
      <c r="G18" s="1391">
        <f t="shared" si="1"/>
        <v>1772.5384615384614</v>
      </c>
      <c r="H18" s="1388"/>
      <c r="J18" s="286"/>
      <c r="K18" s="1385"/>
      <c r="L18" s="1382">
        <f>+L17+1</f>
        <v>3</v>
      </c>
      <c r="M18" s="892" t="s">
        <v>933</v>
      </c>
      <c r="O18" s="1390" t="s">
        <v>135</v>
      </c>
      <c r="P18" s="1750">
        <f t="shared" si="0"/>
        <v>1772.5384615384614</v>
      </c>
      <c r="Q18" s="1340">
        <v>1700</v>
      </c>
      <c r="R18" s="1340">
        <v>1700</v>
      </c>
      <c r="S18" s="1340">
        <v>1700</v>
      </c>
      <c r="T18" s="1340">
        <v>1700</v>
      </c>
      <c r="U18" s="1340">
        <v>1700</v>
      </c>
      <c r="V18" s="1340">
        <v>1700</v>
      </c>
      <c r="W18" s="1340">
        <v>1700</v>
      </c>
      <c r="X18" s="1340">
        <v>1700</v>
      </c>
      <c r="Y18" s="1340">
        <v>1700</v>
      </c>
      <c r="Z18" s="1340">
        <v>1700</v>
      </c>
      <c r="AA18" s="1340">
        <v>1700</v>
      </c>
      <c r="AB18" s="1340">
        <v>1700</v>
      </c>
      <c r="AC18" s="1340">
        <v>2643</v>
      </c>
      <c r="AD18"/>
    </row>
    <row r="19" spans="1:31">
      <c r="A19" s="1375"/>
      <c r="G19" s="1391"/>
      <c r="K19" s="1385"/>
      <c r="M19" s="1381"/>
      <c r="N19" s="1381"/>
      <c r="O19" s="1381"/>
      <c r="P19" s="1389"/>
      <c r="Q19" s="1381"/>
    </row>
    <row r="20" spans="1:31" ht="18">
      <c r="B20" s="2336" t="s">
        <v>879</v>
      </c>
      <c r="C20" s="2336"/>
      <c r="D20" s="2336"/>
      <c r="E20" s="2336"/>
      <c r="F20" s="2336"/>
      <c r="G20" s="2336"/>
      <c r="H20" s="2336"/>
      <c r="I20" s="2336"/>
      <c r="J20" s="2336"/>
      <c r="K20" s="2336"/>
      <c r="L20" s="1382"/>
      <c r="M20" s="1381"/>
      <c r="N20" s="1381"/>
      <c r="O20" s="1381"/>
      <c r="P20" s="1381"/>
      <c r="Q20" s="1381"/>
    </row>
    <row r="21" spans="1:31" ht="25.5" customHeight="1">
      <c r="B21" s="13"/>
      <c r="C21" s="1319"/>
      <c r="D21" s="1319"/>
      <c r="E21" s="15"/>
      <c r="G21" s="15" t="s">
        <v>232</v>
      </c>
      <c r="I21" s="13"/>
      <c r="J21" s="13"/>
      <c r="K21" s="286"/>
      <c r="L21" s="1382"/>
      <c r="M21" s="2336" t="s">
        <v>879</v>
      </c>
      <c r="N21" s="2336"/>
      <c r="O21" s="2336"/>
      <c r="P21" s="2336"/>
      <c r="Q21" s="2336"/>
      <c r="R21" s="2336"/>
      <c r="S21" s="2336"/>
      <c r="T21" s="2336"/>
      <c r="U21" s="2336"/>
      <c r="V21" s="2336"/>
      <c r="W21" s="2336"/>
      <c r="X21" s="2336"/>
      <c r="Y21" s="2336"/>
      <c r="Z21" s="2336"/>
      <c r="AA21" s="2336"/>
      <c r="AB21" s="2336"/>
      <c r="AC21" s="2336"/>
    </row>
    <row r="22" spans="1:31" ht="26">
      <c r="B22" s="1393"/>
      <c r="C22" s="894"/>
      <c r="D22" s="880" t="s">
        <v>1229</v>
      </c>
      <c r="E22" s="13" t="s">
        <v>198</v>
      </c>
      <c r="G22" s="13" t="s">
        <v>255</v>
      </c>
      <c r="I22" s="13" t="s">
        <v>193</v>
      </c>
      <c r="J22" s="13" t="s">
        <v>300</v>
      </c>
      <c r="K22" s="286"/>
      <c r="L22" s="1382"/>
      <c r="M22" s="1394" t="s">
        <v>886</v>
      </c>
      <c r="N22" s="1381"/>
      <c r="O22" s="1381"/>
      <c r="P22" s="1393"/>
      <c r="Q22" s="2425" t="s">
        <v>880</v>
      </c>
      <c r="R22" s="2425"/>
      <c r="S22" s="2425"/>
      <c r="T22" s="2425"/>
      <c r="U22" s="2425"/>
      <c r="V22" s="2425"/>
      <c r="W22" s="2425"/>
      <c r="X22" s="2425"/>
      <c r="Y22" s="2425"/>
      <c r="Z22" s="2425"/>
      <c r="AA22" s="2425"/>
      <c r="AB22" s="2425"/>
      <c r="AC22" s="2425"/>
    </row>
    <row r="23" spans="1:31" ht="26">
      <c r="A23" s="880" t="s">
        <v>883</v>
      </c>
      <c r="B23" s="16" t="s">
        <v>235</v>
      </c>
      <c r="C23" s="16" t="s">
        <v>306</v>
      </c>
      <c r="D23" s="880" t="str">
        <f>"Source - Page 2 of 2. Col "&amp;P7</f>
        <v>Source - Page 2 of 2. Col (D)</v>
      </c>
      <c r="E23" s="16" t="s">
        <v>178</v>
      </c>
      <c r="G23" s="16" t="s">
        <v>194</v>
      </c>
      <c r="I23" s="16" t="s">
        <v>194</v>
      </c>
      <c r="J23" s="16" t="s">
        <v>194</v>
      </c>
      <c r="K23" s="16" t="s">
        <v>217</v>
      </c>
      <c r="L23" s="16" t="s">
        <v>883</v>
      </c>
      <c r="M23" s="16" t="s">
        <v>235</v>
      </c>
      <c r="N23" s="16" t="s">
        <v>306</v>
      </c>
      <c r="O23" s="1383"/>
      <c r="P23" s="1386" t="s">
        <v>1227</v>
      </c>
      <c r="Q23" s="1387" t="str">
        <f>"December "&amp;'SWEPCO TCOS'!$N$2-1</f>
        <v>December 2023</v>
      </c>
      <c r="R23" s="1387" t="str">
        <f>"January "&amp;'SWEPCO TCOS'!$N$2</f>
        <v>January 2024</v>
      </c>
      <c r="S23" s="1387" t="str">
        <f>"February "&amp;'SWEPCO TCOS'!$N$2</f>
        <v>February 2024</v>
      </c>
      <c r="T23" s="1387" t="str">
        <f>"March "&amp;'SWEPCO TCOS'!$N$2</f>
        <v>March 2024</v>
      </c>
      <c r="U23" s="1387" t="str">
        <f>"April "&amp;'SWEPCO TCOS'!$N$2</f>
        <v>April 2024</v>
      </c>
      <c r="V23" s="1387" t="str">
        <f>"May "&amp;'SWEPCO TCOS'!$N$2</f>
        <v>May 2024</v>
      </c>
      <c r="W23" s="1387" t="str">
        <f>"June "&amp;'SWEPCO TCOS'!$N$2</f>
        <v>June 2024</v>
      </c>
      <c r="X23" s="1387" t="str">
        <f>"July "&amp;'SWEPCO TCOS'!$N$2</f>
        <v>July 2024</v>
      </c>
      <c r="Y23" s="1387" t="str">
        <f>"August "&amp;'SWEPCO TCOS'!$N$2</f>
        <v>August 2024</v>
      </c>
      <c r="Z23" s="1387" t="str">
        <f>"September "&amp;'SWEPCO TCOS'!$N$2</f>
        <v>September 2024</v>
      </c>
      <c r="AA23" s="1387" t="str">
        <f>"October "&amp;'SWEPCO TCOS'!$N$2</f>
        <v>October 2024</v>
      </c>
      <c r="AB23" s="1387" t="str">
        <f>"November "&amp;'SWEPCO TCOS'!$N$2</f>
        <v>November 2024</v>
      </c>
      <c r="AC23" s="1387" t="str">
        <f>"December "&amp;'SWEPCO TCOS'!$N$2</f>
        <v>December 2024</v>
      </c>
      <c r="AD23" s="1381"/>
      <c r="AE23" s="1381"/>
    </row>
    <row r="24" spans="1:31">
      <c r="B24" s="1393"/>
      <c r="C24" s="1319"/>
      <c r="D24" s="1319"/>
      <c r="E24" s="1319"/>
      <c r="G24" s="1319"/>
      <c r="I24" s="1319"/>
      <c r="J24" s="1319"/>
      <c r="K24" s="286"/>
      <c r="L24" s="1382"/>
      <c r="M24" s="1381"/>
      <c r="N24" s="1381"/>
      <c r="O24" s="1381"/>
      <c r="P24" s="1381"/>
      <c r="Q24" s="1381"/>
    </row>
    <row r="25" spans="1:31" ht="50">
      <c r="A25" s="354">
        <f>+A18+1</f>
        <v>4</v>
      </c>
      <c r="B25" s="896" t="s">
        <v>589</v>
      </c>
      <c r="C25" s="896" t="s">
        <v>590</v>
      </c>
      <c r="D25" s="1391">
        <f>+P25</f>
        <v>2219315.150153846</v>
      </c>
      <c r="E25" s="1391"/>
      <c r="F25" s="1395"/>
      <c r="G25" s="1355"/>
      <c r="H25" s="1395"/>
      <c r="I25" s="2473">
        <v>1873844.2276923074</v>
      </c>
      <c r="J25" s="2473">
        <v>345470.92246153904</v>
      </c>
      <c r="K25" s="899" t="s">
        <v>1249</v>
      </c>
      <c r="L25" s="354">
        <f>+L18+1</f>
        <v>4</v>
      </c>
      <c r="M25" s="896" t="str">
        <f>+B25</f>
        <v>1650001</v>
      </c>
      <c r="N25" s="896" t="str">
        <f>+C25</f>
        <v>Prepaid Insurance</v>
      </c>
      <c r="O25" s="896"/>
      <c r="P25" s="1750">
        <f>SUM(Q25:AC25)/13</f>
        <v>2219315.150153846</v>
      </c>
      <c r="Q25" s="779">
        <v>1726803.6740000001</v>
      </c>
      <c r="R25" s="779">
        <v>1446111.2039999999</v>
      </c>
      <c r="S25" s="779">
        <v>1165418.774</v>
      </c>
      <c r="T25" s="779">
        <v>900910.31400000001</v>
      </c>
      <c r="U25" s="779">
        <v>620241.91399999999</v>
      </c>
      <c r="V25" s="779">
        <v>730797.72400000005</v>
      </c>
      <c r="W25" s="779">
        <v>449371.56400000001</v>
      </c>
      <c r="X25" s="779">
        <v>4614998.4840000002</v>
      </c>
      <c r="Y25" s="779">
        <v>4227605.8839999996</v>
      </c>
      <c r="Z25" s="779">
        <v>3773763.804</v>
      </c>
      <c r="AA25" s="779">
        <v>3475411.9240000001</v>
      </c>
      <c r="AB25" s="779">
        <v>3024583.3640000001</v>
      </c>
      <c r="AC25" s="779">
        <v>2695078.324</v>
      </c>
      <c r="AD25"/>
    </row>
    <row r="26" spans="1:31">
      <c r="A26" s="354">
        <f>+A25+1</f>
        <v>5</v>
      </c>
      <c r="B26" s="900" t="s">
        <v>1581</v>
      </c>
      <c r="C26" s="896" t="s">
        <v>1230</v>
      </c>
      <c r="D26" s="1391">
        <f>+P26</f>
        <v>0</v>
      </c>
      <c r="E26" s="1391">
        <f>+D26</f>
        <v>0</v>
      </c>
      <c r="F26" s="1395"/>
      <c r="G26" s="1355"/>
      <c r="H26" s="1395"/>
      <c r="I26" s="1355"/>
      <c r="J26" s="1355"/>
      <c r="K26" s="899" t="s">
        <v>1230</v>
      </c>
      <c r="L26" s="354">
        <f>+L25+1</f>
        <v>5</v>
      </c>
      <c r="M26" s="896" t="str">
        <f>+B26</f>
        <v>165000223</v>
      </c>
      <c r="N26" s="896" t="str">
        <f>+C26</f>
        <v>Prepaid Taxes</v>
      </c>
      <c r="O26" s="896"/>
      <c r="P26" s="1750">
        <f>SUM(Q26:AC26)/13</f>
        <v>0</v>
      </c>
      <c r="Q26" s="779">
        <v>0</v>
      </c>
      <c r="R26" s="779">
        <v>0</v>
      </c>
      <c r="S26" s="779">
        <v>0</v>
      </c>
      <c r="T26" s="779">
        <v>0</v>
      </c>
      <c r="U26" s="779">
        <v>0</v>
      </c>
      <c r="V26" s="779">
        <v>0</v>
      </c>
      <c r="W26" s="779">
        <v>0</v>
      </c>
      <c r="X26" s="779">
        <v>0</v>
      </c>
      <c r="Y26" s="779">
        <v>0</v>
      </c>
      <c r="Z26" s="779">
        <v>0</v>
      </c>
      <c r="AA26" s="779">
        <v>0</v>
      </c>
      <c r="AB26" s="779">
        <v>0</v>
      </c>
      <c r="AC26" s="779">
        <v>0</v>
      </c>
      <c r="AD26"/>
    </row>
    <row r="27" spans="1:31">
      <c r="A27" s="354">
        <f>+A26+1</f>
        <v>6</v>
      </c>
      <c r="B27" s="900" t="s">
        <v>1762</v>
      </c>
      <c r="C27" s="896" t="s">
        <v>1230</v>
      </c>
      <c r="D27" s="1391">
        <f t="shared" ref="D27:D48" si="2">+P27</f>
        <v>612931.64076923078</v>
      </c>
      <c r="E27" s="1391">
        <f>+D27</f>
        <v>612931.64076923078</v>
      </c>
      <c r="F27" s="1395"/>
      <c r="G27" s="1355"/>
      <c r="H27" s="1395"/>
      <c r="I27" s="1355"/>
      <c r="J27" s="1355"/>
      <c r="K27" s="899"/>
      <c r="L27" s="354">
        <f>+L26+1</f>
        <v>6</v>
      </c>
      <c r="M27" s="896" t="str">
        <f t="shared" ref="M27:M49" si="3">+B27</f>
        <v>165000224</v>
      </c>
      <c r="N27" s="896" t="str">
        <f t="shared" ref="N27:N48" si="4">+C27</f>
        <v>Prepaid Taxes</v>
      </c>
      <c r="O27" s="896"/>
      <c r="P27" s="1750">
        <f t="shared" ref="P27:P50" si="5">SUM(Q27:AC27)/13</f>
        <v>612931.64076923078</v>
      </c>
      <c r="Q27" s="779">
        <v>0</v>
      </c>
      <c r="R27" s="779">
        <v>1220441.6400000001</v>
      </c>
      <c r="S27" s="779">
        <v>610220.82000000007</v>
      </c>
      <c r="T27" s="779">
        <v>0</v>
      </c>
      <c r="U27" s="779">
        <v>1248321.46</v>
      </c>
      <c r="V27" s="779">
        <v>624160.73</v>
      </c>
      <c r="W27" s="779">
        <v>0</v>
      </c>
      <c r="X27" s="779">
        <v>1261435.6200000001</v>
      </c>
      <c r="Y27" s="779">
        <v>630717.81000000006</v>
      </c>
      <c r="Z27" s="779">
        <v>0</v>
      </c>
      <c r="AA27" s="779">
        <v>1581875.5</v>
      </c>
      <c r="AB27" s="779">
        <v>790937.75</v>
      </c>
      <c r="AC27" s="779">
        <v>0</v>
      </c>
      <c r="AD27"/>
    </row>
    <row r="28" spans="1:31">
      <c r="A28" s="354">
        <f t="shared" ref="A28:A50" si="6">+A27+1</f>
        <v>7</v>
      </c>
      <c r="B28" s="1396">
        <v>1650005</v>
      </c>
      <c r="C28" s="896" t="s">
        <v>592</v>
      </c>
      <c r="D28" s="1391">
        <f t="shared" si="2"/>
        <v>518247.03153846157</v>
      </c>
      <c r="E28" s="1355">
        <f>D28</f>
        <v>518247.03153846157</v>
      </c>
      <c r="F28" s="1395"/>
      <c r="G28" s="1355"/>
      <c r="H28" s="1395"/>
      <c r="I28" s="1355"/>
      <c r="J28" s="1355"/>
      <c r="K28" s="899" t="s">
        <v>1238</v>
      </c>
      <c r="L28" s="354">
        <f t="shared" ref="L28:L50" si="7">+L27+1</f>
        <v>7</v>
      </c>
      <c r="M28" s="795">
        <f t="shared" si="3"/>
        <v>1650005</v>
      </c>
      <c r="N28" s="896" t="str">
        <f t="shared" si="4"/>
        <v>Prepaid Employee Benefits</v>
      </c>
      <c r="O28" s="896"/>
      <c r="P28" s="1750">
        <f t="shared" si="5"/>
        <v>518247.03153846157</v>
      </c>
      <c r="Q28" s="779">
        <v>0</v>
      </c>
      <c r="R28" s="779">
        <v>0</v>
      </c>
      <c r="S28" s="779">
        <v>0</v>
      </c>
      <c r="T28" s="779">
        <v>0</v>
      </c>
      <c r="U28" s="779">
        <v>0</v>
      </c>
      <c r="V28" s="779">
        <v>0</v>
      </c>
      <c r="W28" s="779">
        <v>0</v>
      </c>
      <c r="X28" s="779">
        <v>0</v>
      </c>
      <c r="Y28" s="779">
        <v>0</v>
      </c>
      <c r="Z28" s="779">
        <v>0</v>
      </c>
      <c r="AA28" s="779">
        <v>6737211.4100000001</v>
      </c>
      <c r="AB28" s="779">
        <v>0</v>
      </c>
      <c r="AC28" s="779">
        <v>0</v>
      </c>
      <c r="AD28"/>
    </row>
    <row r="29" spans="1:31" ht="50">
      <c r="A29" s="354">
        <f t="shared" si="6"/>
        <v>8</v>
      </c>
      <c r="B29" s="896" t="s">
        <v>593</v>
      </c>
      <c r="C29" s="896" t="s">
        <v>594</v>
      </c>
      <c r="D29" s="1391">
        <f t="shared" si="2"/>
        <v>4573794.3884615367</v>
      </c>
      <c r="E29" s="1391">
        <f>+D29</f>
        <v>4573794.3884615367</v>
      </c>
      <c r="F29" s="1395"/>
      <c r="G29" s="1355"/>
      <c r="H29" s="1395"/>
      <c r="I29" s="1355"/>
      <c r="J29" s="1355"/>
      <c r="K29" s="899" t="s">
        <v>1250</v>
      </c>
      <c r="L29" s="354">
        <f t="shared" si="7"/>
        <v>8</v>
      </c>
      <c r="M29" s="795" t="str">
        <f t="shared" si="3"/>
        <v>1650006</v>
      </c>
      <c r="N29" s="896" t="str">
        <f t="shared" si="4"/>
        <v>Other Prepayments</v>
      </c>
      <c r="O29" s="896"/>
      <c r="P29" s="1750">
        <f t="shared" si="5"/>
        <v>4573794.3884615367</v>
      </c>
      <c r="Q29" s="779">
        <v>11190942.189999999</v>
      </c>
      <c r="R29" s="779">
        <v>11310901.060000001</v>
      </c>
      <c r="S29" s="779">
        <v>11194021.800000001</v>
      </c>
      <c r="T29" s="779">
        <v>11313879.119999999</v>
      </c>
      <c r="U29" s="779">
        <v>11206822.98</v>
      </c>
      <c r="V29" s="779">
        <v>193745.30000000002</v>
      </c>
      <c r="W29" s="779">
        <v>501223.60000000003</v>
      </c>
      <c r="X29" s="779">
        <v>394167.46</v>
      </c>
      <c r="Y29" s="779">
        <v>596226.80000000005</v>
      </c>
      <c r="Z29" s="779">
        <v>490956.01</v>
      </c>
      <c r="AA29" s="779">
        <v>373842.96</v>
      </c>
      <c r="AB29" s="779">
        <v>256729.91</v>
      </c>
      <c r="AC29" s="779">
        <v>435867.86</v>
      </c>
      <c r="AD29"/>
    </row>
    <row r="30" spans="1:31">
      <c r="A30" s="354">
        <f t="shared" si="6"/>
        <v>9</v>
      </c>
      <c r="B30" s="896" t="s">
        <v>595</v>
      </c>
      <c r="C30" s="896" t="s">
        <v>1278</v>
      </c>
      <c r="D30" s="1355">
        <f t="shared" si="2"/>
        <v>381712.30461538467</v>
      </c>
      <c r="E30" s="1355">
        <f>+D30</f>
        <v>381712.30461538467</v>
      </c>
      <c r="F30" s="1395"/>
      <c r="G30" s="1355"/>
      <c r="H30" s="1395"/>
      <c r="I30" s="1355"/>
      <c r="J30" s="1355"/>
      <c r="K30" s="1396" t="s">
        <v>1251</v>
      </c>
      <c r="L30" s="354">
        <f t="shared" si="7"/>
        <v>9</v>
      </c>
      <c r="M30" s="795" t="str">
        <f t="shared" si="3"/>
        <v>1650009</v>
      </c>
      <c r="N30" s="896" t="str">
        <f t="shared" si="4"/>
        <v>Prepaid Carry Cost</v>
      </c>
      <c r="O30" s="896"/>
      <c r="P30" s="1750">
        <f t="shared" si="5"/>
        <v>381712.30461538467</v>
      </c>
      <c r="Q30" s="779">
        <v>462108.86</v>
      </c>
      <c r="R30" s="779">
        <v>659631.28</v>
      </c>
      <c r="S30" s="779">
        <v>511759.38</v>
      </c>
      <c r="T30" s="779">
        <v>252834.33000000002</v>
      </c>
      <c r="U30" s="779">
        <v>441295</v>
      </c>
      <c r="V30" s="779">
        <v>318996.03999999998</v>
      </c>
      <c r="W30" s="779">
        <v>250421.37</v>
      </c>
      <c r="X30" s="779">
        <v>417868.51</v>
      </c>
      <c r="Y30" s="779">
        <v>320546</v>
      </c>
      <c r="Z30" s="779">
        <v>392073.22000000003</v>
      </c>
      <c r="AA30" s="779">
        <v>377699.69</v>
      </c>
      <c r="AB30" s="779">
        <v>246015.07</v>
      </c>
      <c r="AC30" s="779">
        <v>311011.21000000002</v>
      </c>
      <c r="AD30"/>
    </row>
    <row r="31" spans="1:31">
      <c r="A31" s="354">
        <f t="shared" si="6"/>
        <v>10</v>
      </c>
      <c r="B31" s="896" t="s">
        <v>596</v>
      </c>
      <c r="C31" s="896" t="s">
        <v>597</v>
      </c>
      <c r="D31" s="1397">
        <f t="shared" si="2"/>
        <v>53735279.161538467</v>
      </c>
      <c r="E31" s="1397"/>
      <c r="F31" s="1395"/>
      <c r="G31" s="1397"/>
      <c r="H31" s="1395"/>
      <c r="I31" s="1397"/>
      <c r="J31" s="1397">
        <f>D31</f>
        <v>53735279.161538467</v>
      </c>
      <c r="K31" s="1396" t="s">
        <v>1241</v>
      </c>
      <c r="L31" s="354">
        <f t="shared" si="7"/>
        <v>10</v>
      </c>
      <c r="M31" s="795" t="str">
        <f t="shared" si="3"/>
        <v>1650010</v>
      </c>
      <c r="N31" s="896" t="str">
        <f t="shared" si="4"/>
        <v>Prepaid Pension Benefits</v>
      </c>
      <c r="O31" s="896"/>
      <c r="P31" s="1750">
        <f t="shared" si="5"/>
        <v>53735279.161538467</v>
      </c>
      <c r="Q31" s="779">
        <v>56599566.439999998</v>
      </c>
      <c r="R31" s="779">
        <v>56274853.020000003</v>
      </c>
      <c r="S31" s="779">
        <v>55950139.600000001</v>
      </c>
      <c r="T31" s="779">
        <v>55874642.439999998</v>
      </c>
      <c r="U31" s="779">
        <v>55633001.109999999</v>
      </c>
      <c r="V31" s="779">
        <v>55391359.780000001</v>
      </c>
      <c r="W31" s="779">
        <v>55149718.450000003</v>
      </c>
      <c r="X31" s="779">
        <v>54908077.119999997</v>
      </c>
      <c r="Y31" s="779">
        <v>54666435.789999999</v>
      </c>
      <c r="Z31" s="779">
        <v>54424794.460000001</v>
      </c>
      <c r="AA31" s="779">
        <v>54183153.130000003</v>
      </c>
      <c r="AB31" s="779">
        <v>45085712.630000003</v>
      </c>
      <c r="AC31" s="779">
        <v>44417175.130000003</v>
      </c>
      <c r="AD31"/>
    </row>
    <row r="32" spans="1:31">
      <c r="A32" s="354">
        <f t="shared" si="6"/>
        <v>11</v>
      </c>
      <c r="B32" s="1396" t="s">
        <v>1763</v>
      </c>
      <c r="C32" s="896" t="s">
        <v>598</v>
      </c>
      <c r="D32" s="1355">
        <f t="shared" si="2"/>
        <v>1897661.8984615384</v>
      </c>
      <c r="E32" s="1355">
        <f>+D32</f>
        <v>1897661.8984615384</v>
      </c>
      <c r="F32" s="1395"/>
      <c r="G32" s="1355"/>
      <c r="H32" s="1395"/>
      <c r="I32" s="1355"/>
      <c r="J32" s="1355"/>
      <c r="K32" s="1396" t="s">
        <v>598</v>
      </c>
      <c r="L32" s="354">
        <f t="shared" si="7"/>
        <v>11</v>
      </c>
      <c r="M32" s="795" t="str">
        <f t="shared" si="3"/>
        <v>165001122/23/24</v>
      </c>
      <c r="N32" s="896" t="str">
        <f t="shared" si="4"/>
        <v>Prepaid Sales Taxes</v>
      </c>
      <c r="O32" s="896"/>
      <c r="P32" s="1750">
        <f t="shared" si="5"/>
        <v>1897661.8984615384</v>
      </c>
      <c r="Q32" s="779">
        <v>960200</v>
      </c>
      <c r="R32" s="779">
        <v>2344000</v>
      </c>
      <c r="S32" s="779">
        <v>2771253.5300000003</v>
      </c>
      <c r="T32" s="779">
        <v>1292800</v>
      </c>
      <c r="U32" s="779">
        <v>944800</v>
      </c>
      <c r="V32" s="779">
        <v>2461827.75</v>
      </c>
      <c r="W32" s="779">
        <v>1322400</v>
      </c>
      <c r="X32" s="779">
        <v>1848600</v>
      </c>
      <c r="Y32" s="779">
        <v>3654453.04</v>
      </c>
      <c r="Z32" s="779">
        <v>1660400</v>
      </c>
      <c r="AA32" s="779">
        <v>1400800</v>
      </c>
      <c r="AB32" s="779">
        <v>2549470.36</v>
      </c>
      <c r="AC32" s="779">
        <v>1458600</v>
      </c>
      <c r="AD32"/>
    </row>
    <row r="33" spans="1:30">
      <c r="A33" s="354">
        <f t="shared" si="6"/>
        <v>12</v>
      </c>
      <c r="B33" s="1396" t="s">
        <v>1764</v>
      </c>
      <c r="C33" s="896" t="s">
        <v>599</v>
      </c>
      <c r="D33" s="1355">
        <f t="shared" si="2"/>
        <v>3958.7253846153844</v>
      </c>
      <c r="E33" s="1355">
        <f>+D33</f>
        <v>3958.7253846153844</v>
      </c>
      <c r="F33" s="1395"/>
      <c r="G33" s="1355"/>
      <c r="H33" s="1395"/>
      <c r="I33" s="1355"/>
      <c r="J33" s="1398"/>
      <c r="K33" s="1396" t="s">
        <v>599</v>
      </c>
      <c r="L33" s="354">
        <f t="shared" si="7"/>
        <v>12</v>
      </c>
      <c r="M33" s="795" t="str">
        <f t="shared" si="3"/>
        <v>165001222/23/24</v>
      </c>
      <c r="N33" s="896" t="str">
        <f t="shared" si="4"/>
        <v>Prepaid Use Taxes</v>
      </c>
      <c r="O33" s="896"/>
      <c r="P33" s="1750">
        <f t="shared" si="5"/>
        <v>3958.7253846153844</v>
      </c>
      <c r="Q33" s="779">
        <v>9546.0400000000009</v>
      </c>
      <c r="R33" s="779">
        <v>1808.73</v>
      </c>
      <c r="S33" s="779">
        <v>11652.560000000001</v>
      </c>
      <c r="T33" s="779">
        <v>2454.5500000000002</v>
      </c>
      <c r="U33" s="779">
        <v>2514.9300000000003</v>
      </c>
      <c r="V33" s="779">
        <v>4661.1400000000003</v>
      </c>
      <c r="W33" s="779">
        <v>1163.51</v>
      </c>
      <c r="X33" s="779">
        <v>1263.51</v>
      </c>
      <c r="Y33" s="779">
        <v>2875.88</v>
      </c>
      <c r="Z33" s="779">
        <v>3356.45</v>
      </c>
      <c r="AA33" s="779">
        <v>3911.6800000000003</v>
      </c>
      <c r="AB33" s="779">
        <v>2969.44</v>
      </c>
      <c r="AC33" s="779">
        <v>3285.01</v>
      </c>
      <c r="AD33"/>
    </row>
    <row r="34" spans="1:30">
      <c r="A34" s="354">
        <f t="shared" si="6"/>
        <v>13</v>
      </c>
      <c r="B34" s="795" t="s">
        <v>1765</v>
      </c>
      <c r="C34" s="896" t="s">
        <v>1252</v>
      </c>
      <c r="D34" s="1355">
        <f t="shared" si="2"/>
        <v>2757.2853846153844</v>
      </c>
      <c r="E34" s="1355">
        <f>D34</f>
        <v>2757.2853846153844</v>
      </c>
      <c r="F34" s="1395"/>
      <c r="G34" s="1355"/>
      <c r="H34" s="1395"/>
      <c r="I34" s="1355"/>
      <c r="J34" s="1355"/>
      <c r="K34" s="1396" t="s">
        <v>1252</v>
      </c>
      <c r="L34" s="354">
        <f t="shared" si="7"/>
        <v>13</v>
      </c>
      <c r="M34" s="795" t="str">
        <f t="shared" si="3"/>
        <v>165001322/23/24</v>
      </c>
      <c r="N34" s="896" t="str">
        <f t="shared" si="4"/>
        <v>Prepaid Local Franchise Taxes</v>
      </c>
      <c r="O34" s="896"/>
      <c r="P34" s="1750">
        <f t="shared" si="5"/>
        <v>2757.2853846153844</v>
      </c>
      <c r="Q34" s="779">
        <v>10685.47</v>
      </c>
      <c r="R34" s="779">
        <v>8981.9599999999991</v>
      </c>
      <c r="S34" s="779">
        <v>7789.91</v>
      </c>
      <c r="T34" s="779">
        <v>6739.54</v>
      </c>
      <c r="U34" s="779">
        <v>5773.28</v>
      </c>
      <c r="V34" s="779">
        <v>4122.3900000000003</v>
      </c>
      <c r="W34" s="779">
        <v>2759.36</v>
      </c>
      <c r="X34" s="779">
        <v>1181.3</v>
      </c>
      <c r="Y34" s="779">
        <v>-56.46</v>
      </c>
      <c r="Z34" s="779">
        <v>-1404.58</v>
      </c>
      <c r="AA34" s="779">
        <v>-2523.7400000000002</v>
      </c>
      <c r="AB34" s="779">
        <v>-3471.92</v>
      </c>
      <c r="AC34" s="779">
        <v>-4731.8</v>
      </c>
      <c r="AD34"/>
    </row>
    <row r="35" spans="1:30" ht="37.5">
      <c r="A35" s="354">
        <f t="shared" si="6"/>
        <v>14</v>
      </c>
      <c r="B35" s="905" t="s">
        <v>600</v>
      </c>
      <c r="C35" s="896" t="s">
        <v>601</v>
      </c>
      <c r="D35" s="1355">
        <f t="shared" si="2"/>
        <v>-53735279.161538467</v>
      </c>
      <c r="E35" s="1355">
        <f>+D35</f>
        <v>-53735279.161538467</v>
      </c>
      <c r="F35" s="1395"/>
      <c r="G35" s="1355"/>
      <c r="H35" s="1395"/>
      <c r="K35" s="899" t="s">
        <v>1242</v>
      </c>
      <c r="L35" s="354">
        <f t="shared" si="7"/>
        <v>14</v>
      </c>
      <c r="M35" s="795" t="str">
        <f t="shared" si="3"/>
        <v>1650014</v>
      </c>
      <c r="N35" s="896" t="str">
        <f t="shared" si="4"/>
        <v>FAS 158 Qual Contra Asset</v>
      </c>
      <c r="O35" s="896"/>
      <c r="P35" s="1750">
        <f t="shared" si="5"/>
        <v>-53735279.161538467</v>
      </c>
      <c r="Q35" s="779">
        <v>-56599566.439999998</v>
      </c>
      <c r="R35" s="779">
        <v>-56274853.020000003</v>
      </c>
      <c r="S35" s="779">
        <v>-55950139.600000001</v>
      </c>
      <c r="T35" s="779">
        <v>-55874642.439999998</v>
      </c>
      <c r="U35" s="779">
        <v>-55633001.109999999</v>
      </c>
      <c r="V35" s="779">
        <v>-55391359.780000001</v>
      </c>
      <c r="W35" s="779">
        <v>-55149718.450000003</v>
      </c>
      <c r="X35" s="779">
        <v>-54908077.119999997</v>
      </c>
      <c r="Y35" s="779">
        <v>-54666435.789999999</v>
      </c>
      <c r="Z35" s="779">
        <v>-54424794.460000001</v>
      </c>
      <c r="AA35" s="779">
        <v>-54183153.130000003</v>
      </c>
      <c r="AB35" s="779">
        <v>-45085712.630000003</v>
      </c>
      <c r="AC35" s="779">
        <v>-44417175.130000003</v>
      </c>
      <c r="AD35"/>
    </row>
    <row r="36" spans="1:30">
      <c r="A36" s="354">
        <f t="shared" si="6"/>
        <v>15</v>
      </c>
      <c r="B36" s="1399">
        <v>1650016</v>
      </c>
      <c r="C36" s="896" t="s">
        <v>609</v>
      </c>
      <c r="D36" s="1355">
        <f t="shared" si="2"/>
        <v>0</v>
      </c>
      <c r="E36" s="1355"/>
      <c r="F36" s="1395"/>
      <c r="G36" s="1355"/>
      <c r="H36" s="1395"/>
      <c r="K36" s="1396" t="s">
        <v>1243</v>
      </c>
      <c r="L36" s="354">
        <f t="shared" si="7"/>
        <v>15</v>
      </c>
      <c r="M36" s="795">
        <f t="shared" si="3"/>
        <v>1650016</v>
      </c>
      <c r="N36" s="896" t="str">
        <f t="shared" si="4"/>
        <v>FAS 112 ASSETS</v>
      </c>
      <c r="O36" s="896"/>
      <c r="P36" s="1750">
        <f t="shared" si="5"/>
        <v>0</v>
      </c>
      <c r="Q36" s="779">
        <v>0</v>
      </c>
      <c r="R36" s="779">
        <v>0</v>
      </c>
      <c r="S36" s="779">
        <v>0</v>
      </c>
      <c r="T36" s="779">
        <v>0</v>
      </c>
      <c r="U36" s="779">
        <v>0</v>
      </c>
      <c r="V36" s="779">
        <v>0</v>
      </c>
      <c r="W36" s="779">
        <v>0</v>
      </c>
      <c r="X36" s="779">
        <v>0</v>
      </c>
      <c r="Y36" s="779">
        <v>0</v>
      </c>
      <c r="Z36" s="779">
        <v>0</v>
      </c>
      <c r="AA36" s="779">
        <v>0</v>
      </c>
      <c r="AB36" s="779">
        <v>0</v>
      </c>
      <c r="AC36" s="779">
        <v>0</v>
      </c>
      <c r="AD36"/>
    </row>
    <row r="37" spans="1:30">
      <c r="A37" s="354">
        <f t="shared" si="6"/>
        <v>16</v>
      </c>
      <c r="B37" s="1399" t="s">
        <v>1248</v>
      </c>
      <c r="C37" s="896" t="s">
        <v>1253</v>
      </c>
      <c r="D37" s="1355">
        <f t="shared" si="2"/>
        <v>5111936.1061538467</v>
      </c>
      <c r="E37" s="1355">
        <f>+D37</f>
        <v>5111936.1061538467</v>
      </c>
      <c r="F37" s="1395"/>
      <c r="G37" s="1355"/>
      <c r="H37" s="1395"/>
      <c r="I37" s="1355"/>
      <c r="J37" s="1355"/>
      <c r="K37" s="777" t="s">
        <v>1253</v>
      </c>
      <c r="L37" s="354">
        <f t="shared" si="7"/>
        <v>16</v>
      </c>
      <c r="M37" s="795" t="str">
        <f t="shared" si="3"/>
        <v>1650017</v>
      </c>
      <c r="N37" s="896" t="str">
        <f t="shared" si="4"/>
        <v>Prepayment - Coal</v>
      </c>
      <c r="O37" s="896"/>
      <c r="P37" s="1750">
        <f t="shared" si="5"/>
        <v>5111936.1061538467</v>
      </c>
      <c r="Q37" s="779">
        <v>7687500.0099999998</v>
      </c>
      <c r="R37" s="779">
        <v>9084825.0399999991</v>
      </c>
      <c r="S37" s="779">
        <v>6214281.9400000004</v>
      </c>
      <c r="T37" s="779">
        <v>6211917.9100000001</v>
      </c>
      <c r="U37" s="779">
        <v>5734567.6500000004</v>
      </c>
      <c r="V37" s="779">
        <v>7269606.1299999999</v>
      </c>
      <c r="W37" s="779">
        <v>6386527.3099999996</v>
      </c>
      <c r="X37" s="779">
        <v>5388422.4500000002</v>
      </c>
      <c r="Y37" s="779">
        <v>4687271.22</v>
      </c>
      <c r="Z37" s="779">
        <v>3260524.96</v>
      </c>
      <c r="AA37" s="779">
        <v>2553474.75</v>
      </c>
      <c r="AB37" s="779">
        <v>1976250.01</v>
      </c>
      <c r="AC37" s="779">
        <v>0</v>
      </c>
      <c r="AD37"/>
    </row>
    <row r="38" spans="1:30" ht="25">
      <c r="A38" s="354">
        <f t="shared" si="6"/>
        <v>17</v>
      </c>
      <c r="B38" s="1399">
        <v>1650021</v>
      </c>
      <c r="C38" s="896" t="s">
        <v>602</v>
      </c>
      <c r="D38" s="1355">
        <f t="shared" si="2"/>
        <v>2026874.1643846151</v>
      </c>
      <c r="E38" s="1355">
        <v>0</v>
      </c>
      <c r="F38" s="1395"/>
      <c r="G38" s="1355"/>
      <c r="H38" s="1395"/>
      <c r="I38" s="2473">
        <v>1352303.8384615388</v>
      </c>
      <c r="J38" s="2473">
        <v>674570.32592307683</v>
      </c>
      <c r="K38" s="904" t="s">
        <v>1254</v>
      </c>
      <c r="L38" s="354">
        <f t="shared" si="7"/>
        <v>17</v>
      </c>
      <c r="M38" s="795">
        <f t="shared" si="3"/>
        <v>1650021</v>
      </c>
      <c r="N38" s="896" t="str">
        <f t="shared" si="4"/>
        <v>Prepaid Insurance - EIS</v>
      </c>
      <c r="O38" s="896"/>
      <c r="P38" s="1750">
        <f t="shared" si="5"/>
        <v>2026874.1643846151</v>
      </c>
      <c r="Q38" s="779">
        <v>1664168.409</v>
      </c>
      <c r="R38" s="779">
        <v>1307198.0689999999</v>
      </c>
      <c r="S38" s="779">
        <v>950227.71900000004</v>
      </c>
      <c r="T38" s="779">
        <v>2136102.5989999999</v>
      </c>
      <c r="U38" s="779">
        <v>1769142.409</v>
      </c>
      <c r="V38" s="779">
        <v>1402182.219</v>
      </c>
      <c r="W38" s="779">
        <v>1035222.2290000001</v>
      </c>
      <c r="X38" s="779">
        <v>3621578.889</v>
      </c>
      <c r="Y38" s="779">
        <v>3245288.699</v>
      </c>
      <c r="Z38" s="779">
        <v>2868998.5090000001</v>
      </c>
      <c r="AA38" s="779">
        <v>2492708.3190000001</v>
      </c>
      <c r="AB38" s="779">
        <v>2116418.1290000002</v>
      </c>
      <c r="AC38" s="779">
        <v>1740127.939</v>
      </c>
      <c r="AD38"/>
    </row>
    <row r="39" spans="1:30">
      <c r="A39" s="354">
        <f t="shared" si="6"/>
        <v>18</v>
      </c>
      <c r="B39" s="795">
        <v>1650023</v>
      </c>
      <c r="C39" s="896" t="s">
        <v>610</v>
      </c>
      <c r="D39" s="1355">
        <f t="shared" si="2"/>
        <v>187383.33076923079</v>
      </c>
      <c r="E39" s="1355">
        <f>+D39</f>
        <v>187383.33076923079</v>
      </c>
      <c r="F39" s="1395"/>
      <c r="G39" s="1355"/>
      <c r="H39" s="1395"/>
      <c r="I39" s="1355"/>
      <c r="J39" s="1355">
        <v>0</v>
      </c>
      <c r="K39" s="777" t="s">
        <v>1245</v>
      </c>
      <c r="L39" s="354">
        <f t="shared" si="7"/>
        <v>18</v>
      </c>
      <c r="M39" s="795">
        <f t="shared" si="3"/>
        <v>1650023</v>
      </c>
      <c r="N39" s="896" t="str">
        <f t="shared" si="4"/>
        <v>Prepaid Leases</v>
      </c>
      <c r="O39" s="896"/>
      <c r="P39" s="1750">
        <f t="shared" si="5"/>
        <v>187383.33076923079</v>
      </c>
      <c r="Q39" s="779">
        <v>164889.41</v>
      </c>
      <c r="R39" s="779">
        <v>73333.320000000007</v>
      </c>
      <c r="S39" s="779">
        <v>54999.99</v>
      </c>
      <c r="T39" s="779">
        <v>101082.66</v>
      </c>
      <c r="U39" s="779">
        <v>18333.330000000002</v>
      </c>
      <c r="V39" s="779">
        <v>220000</v>
      </c>
      <c r="W39" s="779">
        <v>414979.79000000004</v>
      </c>
      <c r="X39" s="779">
        <v>183333.30000000002</v>
      </c>
      <c r="Y39" s="779">
        <v>164999.97</v>
      </c>
      <c r="Z39" s="779">
        <v>428382.82</v>
      </c>
      <c r="AA39" s="779">
        <v>128333.31</v>
      </c>
      <c r="AB39" s="779">
        <v>109999.98</v>
      </c>
      <c r="AC39" s="779">
        <v>373315.42</v>
      </c>
      <c r="AD39"/>
    </row>
    <row r="40" spans="1:30">
      <c r="A40" s="354">
        <f t="shared" si="6"/>
        <v>19</v>
      </c>
      <c r="B40" s="795">
        <v>1650024</v>
      </c>
      <c r="C40" s="896" t="s">
        <v>1582</v>
      </c>
      <c r="D40" s="1355">
        <f t="shared" si="2"/>
        <v>1065000.0400000003</v>
      </c>
      <c r="E40" s="1355">
        <f>+D40</f>
        <v>1065000.0400000003</v>
      </c>
      <c r="F40" s="1395"/>
      <c r="G40" s="1355"/>
      <c r="H40" s="1395"/>
      <c r="I40" s="1355"/>
      <c r="J40" s="1355">
        <v>0</v>
      </c>
      <c r="K40" s="777" t="s">
        <v>1255</v>
      </c>
      <c r="L40" s="354">
        <f t="shared" si="7"/>
        <v>19</v>
      </c>
      <c r="M40" s="795">
        <f t="shared" si="3"/>
        <v>1650024</v>
      </c>
      <c r="N40" s="896" t="str">
        <f t="shared" si="4"/>
        <v>LT Coal Prepayment</v>
      </c>
      <c r="O40" s="896"/>
      <c r="P40" s="1750">
        <f t="shared" si="5"/>
        <v>1065000.0400000003</v>
      </c>
      <c r="Q40" s="779">
        <v>1420000</v>
      </c>
      <c r="R40" s="779">
        <v>1360833.34</v>
      </c>
      <c r="S40" s="779">
        <v>1301666.68</v>
      </c>
      <c r="T40" s="779">
        <v>1242500.02</v>
      </c>
      <c r="U40" s="779">
        <v>1183333.3600000001</v>
      </c>
      <c r="V40" s="779">
        <v>1124166.7</v>
      </c>
      <c r="W40" s="779">
        <v>1065000.04</v>
      </c>
      <c r="X40" s="779">
        <v>1005833.38</v>
      </c>
      <c r="Y40" s="779">
        <v>946666.72</v>
      </c>
      <c r="Z40" s="779">
        <v>887500.06</v>
      </c>
      <c r="AA40" s="779">
        <v>828333.4</v>
      </c>
      <c r="AB40" s="779">
        <v>769166.74</v>
      </c>
      <c r="AC40" s="779">
        <v>710000.08</v>
      </c>
      <c r="AD40"/>
    </row>
    <row r="41" spans="1:30">
      <c r="A41" s="354">
        <f t="shared" si="6"/>
        <v>20</v>
      </c>
      <c r="B41" s="795">
        <v>1650030</v>
      </c>
      <c r="C41" s="896" t="s">
        <v>1279</v>
      </c>
      <c r="D41" s="1355">
        <f t="shared" si="2"/>
        <v>4722097.4053846151</v>
      </c>
      <c r="E41" s="1355">
        <f>+D41</f>
        <v>4722097.4053846151</v>
      </c>
      <c r="F41" s="1395"/>
      <c r="G41" s="1355"/>
      <c r="H41" s="1395"/>
      <c r="I41" s="1355"/>
      <c r="J41" s="1355">
        <v>0</v>
      </c>
      <c r="K41" s="777"/>
      <c r="L41" s="354">
        <f t="shared" si="7"/>
        <v>20</v>
      </c>
      <c r="M41" s="795">
        <f t="shared" si="3"/>
        <v>1650030</v>
      </c>
      <c r="N41" s="896" t="str">
        <f t="shared" si="4"/>
        <v>Other Prepayments - Long Term</v>
      </c>
      <c r="O41" s="896"/>
      <c r="P41" s="1750">
        <f t="shared" si="5"/>
        <v>4722097.4053846151</v>
      </c>
      <c r="Q41" s="779">
        <v>3120396.89</v>
      </c>
      <c r="R41" s="779">
        <v>4505653.8899999997</v>
      </c>
      <c r="S41" s="779">
        <v>4505653.8899999997</v>
      </c>
      <c r="T41" s="779">
        <v>4505653.8899999997</v>
      </c>
      <c r="U41" s="779">
        <v>4505653.8899999997</v>
      </c>
      <c r="V41" s="779">
        <v>3613776.51</v>
      </c>
      <c r="W41" s="779">
        <v>3613776.51</v>
      </c>
      <c r="X41" s="779">
        <v>3613776.51</v>
      </c>
      <c r="Y41" s="779">
        <v>4830170.63</v>
      </c>
      <c r="Z41" s="779">
        <v>4830170.63</v>
      </c>
      <c r="AA41" s="779">
        <v>6580861.0099999998</v>
      </c>
      <c r="AB41" s="779">
        <v>6580861.0099999998</v>
      </c>
      <c r="AC41" s="779">
        <v>6580861.0099999998</v>
      </c>
      <c r="AD41"/>
    </row>
    <row r="42" spans="1:30">
      <c r="A42" s="354">
        <f t="shared" si="6"/>
        <v>21</v>
      </c>
      <c r="B42" s="795">
        <v>1650031</v>
      </c>
      <c r="C42" s="896" t="s">
        <v>603</v>
      </c>
      <c r="D42" s="1355">
        <f t="shared" si="2"/>
        <v>0</v>
      </c>
      <c r="E42" s="1355"/>
      <c r="F42" s="1395"/>
      <c r="G42" s="1355"/>
      <c r="H42" s="1395"/>
      <c r="I42" s="1355"/>
      <c r="J42" s="1355">
        <f t="shared" ref="J42:J44" si="8">+D42</f>
        <v>0</v>
      </c>
      <c r="K42" s="777"/>
      <c r="L42" s="354">
        <f t="shared" si="7"/>
        <v>21</v>
      </c>
      <c r="M42" s="795">
        <f t="shared" si="3"/>
        <v>1650031</v>
      </c>
      <c r="N42" s="896" t="str">
        <f t="shared" si="4"/>
        <v>Prepaid OCIP Work Comp</v>
      </c>
      <c r="O42" s="896"/>
      <c r="P42" s="1750">
        <f t="shared" si="5"/>
        <v>0</v>
      </c>
      <c r="Q42" s="779">
        <v>0</v>
      </c>
      <c r="R42" s="779">
        <v>0</v>
      </c>
      <c r="S42" s="779">
        <v>0</v>
      </c>
      <c r="T42" s="779">
        <v>0</v>
      </c>
      <c r="U42" s="779">
        <v>0</v>
      </c>
      <c r="V42" s="779">
        <v>0</v>
      </c>
      <c r="W42" s="779">
        <v>0</v>
      </c>
      <c r="X42" s="779">
        <v>0</v>
      </c>
      <c r="Y42" s="779">
        <v>0</v>
      </c>
      <c r="Z42" s="779">
        <v>0</v>
      </c>
      <c r="AA42" s="779">
        <v>0</v>
      </c>
      <c r="AB42" s="779">
        <v>0</v>
      </c>
      <c r="AC42" s="779">
        <v>0</v>
      </c>
      <c r="AD42"/>
    </row>
    <row r="43" spans="1:30">
      <c r="A43" s="354">
        <f t="shared" si="6"/>
        <v>22</v>
      </c>
      <c r="B43" s="795">
        <v>1650032</v>
      </c>
      <c r="C43" s="896" t="s">
        <v>611</v>
      </c>
      <c r="D43" s="1355">
        <f t="shared" si="2"/>
        <v>0</v>
      </c>
      <c r="E43" s="1355"/>
      <c r="F43" s="1395"/>
      <c r="G43" s="1355"/>
      <c r="H43" s="1395"/>
      <c r="I43" s="1355"/>
      <c r="J43" s="1397">
        <f t="shared" si="8"/>
        <v>0</v>
      </c>
      <c r="K43" s="777"/>
      <c r="L43" s="354">
        <f t="shared" si="7"/>
        <v>22</v>
      </c>
      <c r="M43" s="795">
        <f t="shared" si="3"/>
        <v>1650032</v>
      </c>
      <c r="N43" s="896" t="str">
        <f t="shared" si="4"/>
        <v>Prepaid OCIP Work Comp-Long Term</v>
      </c>
      <c r="O43" s="896"/>
      <c r="P43" s="1750">
        <f t="shared" si="5"/>
        <v>0</v>
      </c>
      <c r="Q43" s="779">
        <v>0</v>
      </c>
      <c r="R43" s="779">
        <v>0</v>
      </c>
      <c r="S43" s="779">
        <v>0</v>
      </c>
      <c r="T43" s="779">
        <v>0</v>
      </c>
      <c r="U43" s="779">
        <v>0</v>
      </c>
      <c r="V43" s="779">
        <v>0</v>
      </c>
      <c r="W43" s="779">
        <v>0</v>
      </c>
      <c r="X43" s="779">
        <v>0</v>
      </c>
      <c r="Y43" s="779">
        <v>0</v>
      </c>
      <c r="Z43" s="779">
        <v>0</v>
      </c>
      <c r="AA43" s="779">
        <v>0</v>
      </c>
      <c r="AB43" s="779">
        <v>0</v>
      </c>
      <c r="AC43" s="779">
        <v>0</v>
      </c>
      <c r="AD43"/>
    </row>
    <row r="44" spans="1:30">
      <c r="A44" s="354">
        <f t="shared" si="6"/>
        <v>23</v>
      </c>
      <c r="B44" s="795">
        <v>1650033</v>
      </c>
      <c r="C44" s="896" t="s">
        <v>612</v>
      </c>
      <c r="D44" s="1355">
        <f t="shared" si="2"/>
        <v>0</v>
      </c>
      <c r="E44" s="1355"/>
      <c r="F44" s="1395"/>
      <c r="G44" s="1355"/>
      <c r="H44" s="1395"/>
      <c r="I44" s="1355"/>
      <c r="J44" s="1397">
        <f t="shared" si="8"/>
        <v>0</v>
      </c>
      <c r="K44" s="777"/>
      <c r="L44" s="354">
        <f t="shared" si="7"/>
        <v>23</v>
      </c>
      <c r="M44" s="795">
        <f t="shared" si="3"/>
        <v>1650033</v>
      </c>
      <c r="N44" s="896" t="str">
        <f t="shared" si="4"/>
        <v>Prepaid OCIP Work Comp-Affiliated</v>
      </c>
      <c r="O44" s="896"/>
      <c r="P44" s="1750">
        <f t="shared" si="5"/>
        <v>0</v>
      </c>
      <c r="Q44" s="779">
        <v>0</v>
      </c>
      <c r="R44" s="779">
        <v>0</v>
      </c>
      <c r="S44" s="779">
        <v>0</v>
      </c>
      <c r="T44" s="779">
        <v>0</v>
      </c>
      <c r="U44" s="779">
        <v>0</v>
      </c>
      <c r="V44" s="779">
        <v>0</v>
      </c>
      <c r="W44" s="779">
        <v>0</v>
      </c>
      <c r="X44" s="779">
        <v>0</v>
      </c>
      <c r="Y44" s="779">
        <v>0</v>
      </c>
      <c r="Z44" s="779">
        <v>0</v>
      </c>
      <c r="AA44" s="779">
        <v>0</v>
      </c>
      <c r="AB44" s="779">
        <v>0</v>
      </c>
      <c r="AC44" s="779">
        <v>0</v>
      </c>
      <c r="AD44"/>
    </row>
    <row r="45" spans="1:30">
      <c r="A45" s="354">
        <f t="shared" si="6"/>
        <v>24</v>
      </c>
      <c r="B45" s="795">
        <v>1650034</v>
      </c>
      <c r="C45" s="896" t="s">
        <v>613</v>
      </c>
      <c r="D45" s="1355">
        <f t="shared" si="2"/>
        <v>0</v>
      </c>
      <c r="E45" s="1355">
        <f>+D45</f>
        <v>0</v>
      </c>
      <c r="F45" s="1395"/>
      <c r="G45" s="1355"/>
      <c r="H45" s="1395"/>
      <c r="I45" s="1355"/>
      <c r="J45" s="1397"/>
      <c r="K45" s="777"/>
      <c r="L45" s="354">
        <f t="shared" si="7"/>
        <v>24</v>
      </c>
      <c r="M45" s="795">
        <f t="shared" si="3"/>
        <v>1650034</v>
      </c>
      <c r="N45" s="896" t="str">
        <f t="shared" si="4"/>
        <v>Prepaid OCIP Work Comp-Affiliated Long Term</v>
      </c>
      <c r="O45" s="896"/>
      <c r="P45" s="1750">
        <f t="shared" si="5"/>
        <v>0</v>
      </c>
      <c r="Q45" s="779">
        <v>0</v>
      </c>
      <c r="R45" s="779">
        <v>0</v>
      </c>
      <c r="S45" s="779">
        <v>0</v>
      </c>
      <c r="T45" s="779">
        <v>0</v>
      </c>
      <c r="U45" s="779">
        <v>0</v>
      </c>
      <c r="V45" s="779">
        <v>0</v>
      </c>
      <c r="W45" s="779">
        <v>0</v>
      </c>
      <c r="X45" s="779">
        <v>0</v>
      </c>
      <c r="Y45" s="779">
        <v>0</v>
      </c>
      <c r="Z45" s="779">
        <v>0</v>
      </c>
      <c r="AA45" s="779">
        <v>0</v>
      </c>
      <c r="AB45" s="779">
        <v>0</v>
      </c>
      <c r="AC45" s="779">
        <v>0</v>
      </c>
      <c r="AD45"/>
    </row>
    <row r="46" spans="1:30" ht="25">
      <c r="A46" s="354">
        <f t="shared" si="6"/>
        <v>25</v>
      </c>
      <c r="B46" s="795">
        <v>1650035</v>
      </c>
      <c r="C46" s="896" t="s">
        <v>604</v>
      </c>
      <c r="D46" s="1355">
        <f t="shared" si="2"/>
        <v>76301801.699999988</v>
      </c>
      <c r="E46" s="1355"/>
      <c r="F46" s="1395"/>
      <c r="G46" s="1355"/>
      <c r="H46" s="1395"/>
      <c r="I46" s="1355"/>
      <c r="J46" s="1397">
        <f>+D46</f>
        <v>76301801.699999988</v>
      </c>
      <c r="K46" s="904" t="s">
        <v>1246</v>
      </c>
      <c r="L46" s="354">
        <f t="shared" si="7"/>
        <v>25</v>
      </c>
      <c r="M46" s="795">
        <f t="shared" si="3"/>
        <v>1650035</v>
      </c>
      <c r="N46" s="905" t="str">
        <f t="shared" si="4"/>
        <v>PRW Without MED-D Benefits</v>
      </c>
      <c r="O46" s="905"/>
      <c r="P46" s="1750">
        <f t="shared" si="5"/>
        <v>76301801.699999988</v>
      </c>
      <c r="Q46" s="779">
        <v>73834713.480000004</v>
      </c>
      <c r="R46" s="779">
        <v>74254186.879999995</v>
      </c>
      <c r="S46" s="779">
        <v>74676335.540000007</v>
      </c>
      <c r="T46" s="779">
        <v>75146953.739999995</v>
      </c>
      <c r="U46" s="779">
        <v>75569684.840000004</v>
      </c>
      <c r="V46" s="779">
        <v>76006837.629999995</v>
      </c>
      <c r="W46" s="779">
        <v>76178889.989999995</v>
      </c>
      <c r="X46" s="779">
        <v>76615578.310000002</v>
      </c>
      <c r="Y46" s="779">
        <v>77054397.769999996</v>
      </c>
      <c r="Z46" s="779">
        <v>77491227.010000005</v>
      </c>
      <c r="AA46" s="779">
        <v>77927535.310000002</v>
      </c>
      <c r="AB46" s="779">
        <v>78364896.920000002</v>
      </c>
      <c r="AC46" s="779">
        <v>78802184.680000007</v>
      </c>
      <c r="AD46"/>
    </row>
    <row r="47" spans="1:30">
      <c r="A47" s="354">
        <f t="shared" si="6"/>
        <v>26</v>
      </c>
      <c r="B47" s="795">
        <v>1650036</v>
      </c>
      <c r="C47" s="896" t="s">
        <v>605</v>
      </c>
      <c r="D47" s="1355">
        <f t="shared" si="2"/>
        <v>0</v>
      </c>
      <c r="E47" s="1355">
        <f>+D47</f>
        <v>0</v>
      </c>
      <c r="F47" s="1400"/>
      <c r="G47" s="1401"/>
      <c r="H47" s="1400"/>
      <c r="I47" s="1401"/>
      <c r="J47" s="1401"/>
      <c r="K47" s="807"/>
      <c r="L47" s="354">
        <f t="shared" si="7"/>
        <v>26</v>
      </c>
      <c r="M47" s="795">
        <f t="shared" si="3"/>
        <v>1650036</v>
      </c>
      <c r="N47" s="905" t="str">
        <f t="shared" si="4"/>
        <v>PRW for Med-D Benefits</v>
      </c>
      <c r="O47" s="905"/>
      <c r="P47" s="1750">
        <f t="shared" si="5"/>
        <v>0</v>
      </c>
      <c r="Q47" s="779">
        <v>0</v>
      </c>
      <c r="R47" s="779">
        <v>0</v>
      </c>
      <c r="S47" s="779">
        <v>0</v>
      </c>
      <c r="T47" s="779">
        <v>0</v>
      </c>
      <c r="U47" s="779">
        <v>0</v>
      </c>
      <c r="V47" s="779">
        <v>0</v>
      </c>
      <c r="W47" s="779">
        <v>0</v>
      </c>
      <c r="X47" s="779">
        <v>0</v>
      </c>
      <c r="Y47" s="779">
        <v>0</v>
      </c>
      <c r="Z47" s="779">
        <v>0</v>
      </c>
      <c r="AA47" s="779">
        <v>0</v>
      </c>
      <c r="AB47" s="779">
        <v>0</v>
      </c>
      <c r="AC47" s="779">
        <v>0</v>
      </c>
      <c r="AD47"/>
    </row>
    <row r="48" spans="1:30" ht="25">
      <c r="A48" s="354">
        <f t="shared" si="6"/>
        <v>27</v>
      </c>
      <c r="B48" s="795">
        <v>1650037</v>
      </c>
      <c r="C48" s="896" t="s">
        <v>614</v>
      </c>
      <c r="D48" s="1355">
        <f t="shared" si="2"/>
        <v>-76301801.699999988</v>
      </c>
      <c r="E48" s="1355">
        <f>+D48</f>
        <v>-76301801.699999988</v>
      </c>
      <c r="F48" s="1395"/>
      <c r="G48" s="1355"/>
      <c r="H48" s="1395"/>
      <c r="I48" s="1355"/>
      <c r="J48" s="1397"/>
      <c r="K48" s="904" t="s">
        <v>1247</v>
      </c>
      <c r="L48" s="354">
        <f t="shared" si="7"/>
        <v>27</v>
      </c>
      <c r="M48" s="795">
        <f t="shared" si="3"/>
        <v>1650037</v>
      </c>
      <c r="N48" s="905" t="str">
        <f t="shared" si="4"/>
        <v>FAS158 Contra-PRW Exclude Med-D</v>
      </c>
      <c r="O48" s="905"/>
      <c r="P48" s="1750">
        <f t="shared" si="5"/>
        <v>-76301801.699999988</v>
      </c>
      <c r="Q48" s="779">
        <v>-73834713.480000004</v>
      </c>
      <c r="R48" s="779">
        <v>-74254186.879999995</v>
      </c>
      <c r="S48" s="779">
        <v>-74676335.540000007</v>
      </c>
      <c r="T48" s="779">
        <v>-75146953.739999995</v>
      </c>
      <c r="U48" s="779">
        <v>-75569684.840000004</v>
      </c>
      <c r="V48" s="779">
        <v>-76006837.629999995</v>
      </c>
      <c r="W48" s="779">
        <v>-76178889.989999995</v>
      </c>
      <c r="X48" s="779">
        <v>-76615578.310000002</v>
      </c>
      <c r="Y48" s="779">
        <v>-77054397.769999996</v>
      </c>
      <c r="Z48" s="779">
        <v>-77491227.010000005</v>
      </c>
      <c r="AA48" s="779">
        <v>-77927535.310000002</v>
      </c>
      <c r="AB48" s="779">
        <v>-78364896.920000002</v>
      </c>
      <c r="AC48" s="779">
        <v>-78802184.680000007</v>
      </c>
      <c r="AD48"/>
    </row>
    <row r="49" spans="1:30">
      <c r="A49" s="354">
        <f t="shared" si="6"/>
        <v>28</v>
      </c>
      <c r="B49" s="2142" t="s">
        <v>1583</v>
      </c>
      <c r="C49" s="896" t="s">
        <v>1584</v>
      </c>
      <c r="D49" s="1355">
        <f>P49</f>
        <v>1172500.0799999998</v>
      </c>
      <c r="E49" s="1355">
        <f>D49</f>
        <v>1172500.0799999998</v>
      </c>
      <c r="F49" s="1395"/>
      <c r="G49" s="1355"/>
      <c r="H49" s="1395"/>
      <c r="I49" s="1355"/>
      <c r="J49" s="1397"/>
      <c r="K49" s="777"/>
      <c r="L49" s="354">
        <f t="shared" si="7"/>
        <v>28</v>
      </c>
      <c r="M49" s="795" t="str">
        <f t="shared" si="3"/>
        <v>1650044</v>
      </c>
      <c r="N49" s="905" t="s">
        <v>1584</v>
      </c>
      <c r="O49" s="905"/>
      <c r="P49" s="1750">
        <f t="shared" si="5"/>
        <v>1172500.0799999998</v>
      </c>
      <c r="Q49" s="779">
        <v>1635000</v>
      </c>
      <c r="R49" s="779">
        <v>1557916.6800000002</v>
      </c>
      <c r="S49" s="779">
        <v>1480833.3599999999</v>
      </c>
      <c r="T49" s="779">
        <v>1403750.04</v>
      </c>
      <c r="U49" s="779">
        <v>1326666.72</v>
      </c>
      <c r="V49" s="779">
        <v>1249583.3999999999</v>
      </c>
      <c r="W49" s="779">
        <v>1172500.08</v>
      </c>
      <c r="X49" s="779">
        <v>1095416.76</v>
      </c>
      <c r="Y49" s="779">
        <v>1018333.44</v>
      </c>
      <c r="Z49" s="779">
        <v>941250.12</v>
      </c>
      <c r="AA49" s="779">
        <v>864166.8</v>
      </c>
      <c r="AB49" s="779">
        <v>787083.48</v>
      </c>
      <c r="AC49" s="779">
        <v>710000.16</v>
      </c>
      <c r="AD49"/>
    </row>
    <row r="50" spans="1:30">
      <c r="A50" s="354">
        <f t="shared" si="6"/>
        <v>29</v>
      </c>
      <c r="B50" s="1399"/>
      <c r="C50" s="896"/>
      <c r="D50" s="1355"/>
      <c r="E50" s="1355"/>
      <c r="F50" s="1395"/>
      <c r="G50" s="1355"/>
      <c r="H50" s="1395"/>
      <c r="I50" s="1355"/>
      <c r="J50" s="1397"/>
      <c r="K50" s="777"/>
      <c r="L50" s="354">
        <f t="shared" si="7"/>
        <v>29</v>
      </c>
      <c r="M50" s="795"/>
      <c r="N50" s="905"/>
      <c r="O50" s="905"/>
      <c r="P50" s="1750">
        <f t="shared" si="5"/>
        <v>0</v>
      </c>
      <c r="Q50" s="779"/>
      <c r="R50" s="779"/>
      <c r="S50" s="779"/>
      <c r="T50" s="779"/>
      <c r="U50" s="779"/>
      <c r="V50" s="779"/>
      <c r="W50" s="779"/>
      <c r="X50" s="779"/>
      <c r="Y50" s="779"/>
      <c r="Z50" s="779"/>
      <c r="AA50" s="779"/>
      <c r="AB50" s="779"/>
      <c r="AC50" s="779"/>
      <c r="AD50"/>
    </row>
    <row r="51" spans="1:30" ht="13" thickBot="1">
      <c r="B51" s="911"/>
      <c r="C51" s="911"/>
      <c r="D51" s="1402"/>
      <c r="E51" s="1403"/>
      <c r="F51" s="1404"/>
      <c r="G51" s="1403"/>
      <c r="H51" s="1404"/>
      <c r="I51" s="1403"/>
      <c r="J51" s="1403"/>
      <c r="K51" s="915"/>
      <c r="L51" s="1382"/>
      <c r="M51" s="1381"/>
      <c r="N51" s="1381"/>
      <c r="O51" s="1381"/>
      <c r="P51" s="1389"/>
      <c r="Q51" s="1381"/>
      <c r="AD51"/>
    </row>
    <row r="52" spans="1:30" ht="13">
      <c r="A52" s="1382">
        <f>+A50+1</f>
        <v>30</v>
      </c>
      <c r="B52" s="1393"/>
      <c r="C52" s="24"/>
      <c r="D52" s="1405">
        <f>SUM(D25:D51)</f>
        <v>24496169.551461533</v>
      </c>
      <c r="E52" s="1406">
        <f>SUM(E25:E51)</f>
        <v>-109787100.62461539</v>
      </c>
      <c r="F52" s="1395"/>
      <c r="G52" s="1406">
        <f>SUM(G25:G51)</f>
        <v>0</v>
      </c>
      <c r="H52" s="1395"/>
      <c r="I52" s="1406">
        <f>SUM(I25:I51)</f>
        <v>3226148.0661538462</v>
      </c>
      <c r="J52" s="1406">
        <f>SUM(J25:J51)</f>
        <v>131057122.10992306</v>
      </c>
      <c r="K52" s="286"/>
      <c r="L52" s="1382">
        <f>+L50+1</f>
        <v>30</v>
      </c>
      <c r="M52" s="24" t="s">
        <v>885</v>
      </c>
      <c r="O52" s="1381"/>
      <c r="P52" s="1407">
        <f t="shared" ref="P52:AC52" si="9">SUM(P25:P51)</f>
        <v>24496169.551461533</v>
      </c>
      <c r="Q52" s="1406">
        <f t="shared" si="9"/>
        <v>30052240.953000009</v>
      </c>
      <c r="R52" s="1406">
        <f t="shared" si="9"/>
        <v>34881636.212999992</v>
      </c>
      <c r="S52" s="1406">
        <f t="shared" si="9"/>
        <v>30779780.353</v>
      </c>
      <c r="T52" s="1406">
        <f t="shared" si="9"/>
        <v>29370624.972999997</v>
      </c>
      <c r="U52" s="1406">
        <f t="shared" si="9"/>
        <v>29007466.923000008</v>
      </c>
      <c r="V52" s="1406">
        <f t="shared" si="9"/>
        <v>19217626.033</v>
      </c>
      <c r="W52" s="1406">
        <f t="shared" si="9"/>
        <v>16215345.362999992</v>
      </c>
      <c r="X52" s="1406">
        <f t="shared" si="9"/>
        <v>23447876.172999989</v>
      </c>
      <c r="Y52" s="1406">
        <f t="shared" si="9"/>
        <v>24325099.633000005</v>
      </c>
      <c r="Z52" s="1406">
        <f t="shared" si="9"/>
        <v>19535972.003000002</v>
      </c>
      <c r="AA52" s="1406">
        <f t="shared" si="9"/>
        <v>27396107.013000015</v>
      </c>
      <c r="AB52" s="1406">
        <f t="shared" si="9"/>
        <v>19207013.32300001</v>
      </c>
      <c r="AC52" s="1406">
        <f t="shared" si="9"/>
        <v>15013415.213000003</v>
      </c>
      <c r="AD52"/>
    </row>
    <row r="53" spans="1:30" ht="13">
      <c r="B53" s="1393"/>
      <c r="C53" s="24"/>
      <c r="D53" s="1408"/>
      <c r="E53" s="1326"/>
      <c r="F53" s="1395"/>
      <c r="G53" s="1326"/>
      <c r="H53" s="1395"/>
      <c r="I53" s="1326"/>
      <c r="J53" s="1326"/>
      <c r="K53" s="286"/>
      <c r="L53" s="1381"/>
      <c r="M53" s="1381"/>
      <c r="N53" s="1381"/>
      <c r="O53" s="1381"/>
      <c r="P53" s="1381"/>
      <c r="Q53" s="1381"/>
    </row>
    <row r="54" spans="1:30" ht="49.5" customHeight="1">
      <c r="A54" s="1409" t="s">
        <v>763</v>
      </c>
      <c r="B54" s="2334" t="s">
        <v>762</v>
      </c>
      <c r="C54" s="2334"/>
      <c r="D54" s="2334"/>
      <c r="E54" s="2334"/>
      <c r="F54" s="2334"/>
      <c r="G54" s="2334"/>
      <c r="H54" s="2334"/>
      <c r="I54" s="2334"/>
      <c r="J54" s="2334"/>
      <c r="K54" s="2334"/>
      <c r="L54" s="1409" t="s">
        <v>763</v>
      </c>
      <c r="M54" s="2334"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334"/>
      <c r="O54" s="2334"/>
      <c r="P54" s="2334"/>
      <c r="Q54" s="2334"/>
      <c r="R54" s="2334"/>
      <c r="S54" s="2334"/>
      <c r="T54" s="2334"/>
      <c r="U54" s="2334"/>
      <c r="V54" s="2334"/>
      <c r="W54" s="2334"/>
      <c r="X54" s="2334"/>
      <c r="Y54" s="2334"/>
      <c r="Z54" s="2334"/>
      <c r="AA54" s="2334"/>
      <c r="AB54" s="2334"/>
      <c r="AC54" s="2334"/>
    </row>
    <row r="55" spans="1:30">
      <c r="A55" s="286"/>
      <c r="B55" s="286"/>
      <c r="C55" s="286"/>
      <c r="D55" s="286"/>
      <c r="E55" s="286"/>
      <c r="F55" s="286"/>
      <c r="G55" s="286"/>
      <c r="H55" s="286"/>
      <c r="I55" s="286"/>
      <c r="J55" s="286"/>
      <c r="K55" s="286"/>
      <c r="L55" s="286"/>
      <c r="M55" s="286"/>
      <c r="N55" s="286"/>
      <c r="O55" s="286"/>
      <c r="P55" s="286"/>
      <c r="Q55" s="286"/>
      <c r="R55" s="286"/>
    </row>
    <row r="56" spans="1:30">
      <c r="A56" s="286"/>
      <c r="B56" s="286"/>
      <c r="C56" s="286"/>
      <c r="D56" s="286"/>
      <c r="E56" s="286"/>
      <c r="F56" s="286"/>
      <c r="G56" s="286"/>
      <c r="H56" s="286"/>
      <c r="I56" s="286"/>
      <c r="J56" s="286"/>
      <c r="K56" s="286"/>
      <c r="L56" s="286"/>
      <c r="M56" s="286"/>
      <c r="N56" s="286"/>
      <c r="O56" s="286"/>
      <c r="P56" s="286"/>
      <c r="Q56" s="286"/>
      <c r="R56" s="286"/>
    </row>
    <row r="57" spans="1:30">
      <c r="A57" s="286"/>
      <c r="B57" s="286"/>
      <c r="C57" s="286"/>
      <c r="D57" s="286"/>
      <c r="E57" s="286"/>
      <c r="F57" s="286"/>
      <c r="G57" s="286"/>
      <c r="H57" s="286"/>
      <c r="I57" s="286"/>
      <c r="J57" s="286"/>
      <c r="K57" s="286"/>
      <c r="L57" s="286"/>
      <c r="M57" s="286"/>
      <c r="N57" s="286"/>
      <c r="O57" s="286"/>
      <c r="P57" s="286"/>
      <c r="Q57" s="286"/>
      <c r="R57" s="286"/>
    </row>
    <row r="58" spans="1:30">
      <c r="A58" s="286"/>
      <c r="B58" s="286"/>
      <c r="C58" s="286"/>
      <c r="D58" s="286"/>
      <c r="E58" s="286"/>
      <c r="F58" s="286"/>
      <c r="G58" s="286"/>
      <c r="H58" s="286"/>
      <c r="I58" s="286"/>
      <c r="J58" s="286"/>
      <c r="K58" s="286"/>
      <c r="L58" s="286"/>
      <c r="M58" s="286"/>
      <c r="N58" s="286"/>
      <c r="O58" s="286"/>
      <c r="P58" s="286"/>
      <c r="Q58" s="286"/>
      <c r="R58" s="286"/>
    </row>
    <row r="59" spans="1:30">
      <c r="A59" s="286"/>
      <c r="B59" s="286"/>
      <c r="C59" s="286"/>
      <c r="D59" s="286"/>
      <c r="E59" s="286"/>
      <c r="F59" s="286"/>
      <c r="G59" s="286"/>
      <c r="H59" s="286"/>
      <c r="I59" s="286"/>
      <c r="J59" s="286"/>
      <c r="K59" s="286"/>
      <c r="L59" s="286"/>
      <c r="M59" s="286"/>
      <c r="N59" s="286"/>
      <c r="O59" s="286"/>
      <c r="P59" s="286"/>
      <c r="Q59" s="286"/>
      <c r="R59" s="286"/>
    </row>
    <row r="60" spans="1:30">
      <c r="A60" s="286"/>
      <c r="B60" s="286"/>
      <c r="C60" s="286"/>
      <c r="D60" s="286"/>
      <c r="E60" s="286"/>
      <c r="F60" s="286"/>
      <c r="G60" s="286"/>
      <c r="H60" s="286"/>
      <c r="I60" s="286"/>
      <c r="J60" s="286"/>
      <c r="K60" s="286"/>
      <c r="L60" s="286"/>
      <c r="M60" s="286"/>
      <c r="N60" s="286"/>
      <c r="O60" s="286"/>
      <c r="P60" s="286"/>
      <c r="Q60" s="286"/>
      <c r="R60" s="286"/>
    </row>
    <row r="61" spans="1:30">
      <c r="A61" s="286"/>
      <c r="B61" s="286"/>
      <c r="C61" s="286"/>
      <c r="D61" s="286"/>
      <c r="E61" s="286"/>
      <c r="F61" s="286"/>
      <c r="G61" s="286"/>
      <c r="H61" s="286"/>
      <c r="I61" s="286"/>
      <c r="J61" s="286"/>
      <c r="K61" s="286"/>
      <c r="L61" s="286"/>
      <c r="M61" s="286"/>
      <c r="N61" s="286"/>
      <c r="O61" s="286"/>
      <c r="P61" s="286"/>
      <c r="Q61" s="286"/>
      <c r="R61" s="286"/>
    </row>
    <row r="62" spans="1:30">
      <c r="A62" s="286"/>
      <c r="B62" s="286"/>
      <c r="C62" s="286"/>
      <c r="D62" s="286"/>
      <c r="E62" s="286"/>
      <c r="F62" s="286"/>
      <c r="G62" s="286"/>
      <c r="H62" s="286"/>
      <c r="I62" s="286"/>
      <c r="J62" s="286"/>
      <c r="K62" s="286"/>
      <c r="L62" s="286"/>
      <c r="M62" s="286"/>
      <c r="N62" s="286"/>
      <c r="O62" s="286"/>
      <c r="P62" s="286"/>
      <c r="Q62" s="286"/>
      <c r="R62" s="286"/>
    </row>
    <row r="63" spans="1:30">
      <c r="A63" s="286"/>
      <c r="B63" s="286"/>
      <c r="C63" s="286"/>
      <c r="D63" s="286"/>
      <c r="E63" s="286"/>
      <c r="F63" s="286"/>
      <c r="G63" s="286"/>
      <c r="H63" s="286"/>
      <c r="I63" s="286"/>
      <c r="J63" s="286"/>
      <c r="K63" s="286"/>
      <c r="L63" s="286"/>
      <c r="M63" s="286"/>
      <c r="N63" s="286"/>
      <c r="O63" s="286"/>
      <c r="P63" s="286"/>
      <c r="Q63" s="286"/>
      <c r="R63" s="286"/>
    </row>
    <row r="64" spans="1:30">
      <c r="A64" s="286"/>
      <c r="B64" s="286"/>
      <c r="C64" s="286"/>
      <c r="D64" s="286"/>
      <c r="E64" s="286"/>
      <c r="F64" s="286"/>
      <c r="G64" s="286"/>
      <c r="H64" s="286"/>
      <c r="I64" s="286"/>
      <c r="J64" s="286"/>
      <c r="K64" s="286"/>
      <c r="L64" s="286"/>
      <c r="M64" s="286"/>
      <c r="N64" s="286"/>
      <c r="O64" s="286"/>
      <c r="P64" s="286"/>
      <c r="Q64" s="286"/>
      <c r="R64" s="286"/>
    </row>
    <row r="65" spans="1:18">
      <c r="A65" s="286"/>
      <c r="B65" s="286"/>
      <c r="C65" s="286"/>
      <c r="D65" s="286"/>
      <c r="E65" s="286"/>
      <c r="F65" s="286"/>
      <c r="G65" s="286"/>
      <c r="H65" s="286"/>
      <c r="I65" s="286"/>
      <c r="J65" s="286"/>
      <c r="K65" s="286"/>
      <c r="L65" s="286"/>
      <c r="M65" s="286"/>
      <c r="N65" s="286"/>
      <c r="O65" s="286"/>
      <c r="P65" s="286"/>
      <c r="Q65" s="286"/>
      <c r="R65" s="286"/>
    </row>
    <row r="66" spans="1:18">
      <c r="A66" s="286"/>
      <c r="B66" s="286"/>
      <c r="C66" s="286"/>
      <c r="D66" s="286"/>
      <c r="E66" s="286"/>
      <c r="F66" s="286"/>
      <c r="G66" s="286"/>
      <c r="H66" s="286"/>
      <c r="I66" s="286"/>
      <c r="J66" s="286"/>
      <c r="K66" s="286"/>
      <c r="L66" s="286"/>
      <c r="M66" s="286"/>
      <c r="N66" s="286"/>
      <c r="O66" s="286"/>
      <c r="P66" s="286"/>
      <c r="Q66" s="286"/>
      <c r="R66" s="286"/>
    </row>
    <row r="67" spans="1:18">
      <c r="A67" s="286"/>
      <c r="B67" s="286"/>
      <c r="C67" s="286"/>
      <c r="D67" s="286"/>
      <c r="E67" s="286"/>
      <c r="F67" s="286"/>
      <c r="G67" s="286"/>
      <c r="H67" s="286"/>
      <c r="I67" s="286"/>
      <c r="J67" s="286"/>
      <c r="K67" s="286"/>
      <c r="L67" s="286"/>
      <c r="M67" s="286"/>
      <c r="N67" s="286"/>
      <c r="O67" s="286"/>
      <c r="P67" s="286"/>
      <c r="Q67" s="286"/>
      <c r="R67" s="286"/>
    </row>
    <row r="68" spans="1:18">
      <c r="A68" s="286"/>
      <c r="B68" s="286"/>
      <c r="C68" s="286"/>
      <c r="D68" s="286"/>
      <c r="E68" s="286"/>
      <c r="F68" s="286"/>
      <c r="G68" s="286"/>
      <c r="H68" s="286"/>
      <c r="I68" s="286"/>
      <c r="J68" s="286"/>
      <c r="K68" s="286"/>
      <c r="L68" s="286"/>
      <c r="M68" s="286"/>
      <c r="N68" s="286"/>
      <c r="O68" s="286"/>
      <c r="P68" s="286"/>
      <c r="Q68" s="286"/>
      <c r="R68" s="286"/>
    </row>
    <row r="69" spans="1:18">
      <c r="A69" s="286"/>
      <c r="B69" s="286"/>
      <c r="C69" s="286"/>
      <c r="D69" s="286"/>
      <c r="E69" s="286"/>
      <c r="F69" s="286"/>
      <c r="G69" s="286"/>
      <c r="H69" s="286"/>
      <c r="I69" s="286"/>
      <c r="J69" s="286"/>
      <c r="K69" s="286"/>
      <c r="L69" s="286"/>
      <c r="M69" s="286"/>
      <c r="N69" s="286"/>
      <c r="O69" s="286"/>
      <c r="P69" s="286"/>
      <c r="Q69" s="286"/>
      <c r="R69" s="286"/>
    </row>
    <row r="70" spans="1:18">
      <c r="A70" s="286"/>
      <c r="B70" s="286"/>
      <c r="C70" s="286"/>
      <c r="D70" s="286"/>
      <c r="E70" s="286"/>
      <c r="F70" s="286"/>
      <c r="G70" s="286"/>
      <c r="H70" s="286"/>
      <c r="I70" s="286"/>
      <c r="J70" s="286"/>
      <c r="K70" s="286"/>
      <c r="L70" s="286"/>
      <c r="M70" s="286"/>
      <c r="N70" s="286"/>
      <c r="O70" s="286"/>
      <c r="P70" s="286"/>
      <c r="Q70" s="286"/>
      <c r="R70" s="286"/>
    </row>
    <row r="71" spans="1:18">
      <c r="A71" s="286"/>
      <c r="B71" s="286"/>
      <c r="C71" s="286"/>
      <c r="D71" s="286"/>
      <c r="E71" s="286"/>
      <c r="F71" s="286"/>
      <c r="G71" s="286"/>
      <c r="H71" s="286"/>
      <c r="I71" s="286"/>
      <c r="J71" s="286"/>
      <c r="K71" s="286"/>
      <c r="L71" s="286"/>
      <c r="M71" s="286"/>
      <c r="N71" s="286"/>
      <c r="O71" s="286"/>
      <c r="P71" s="286"/>
      <c r="Q71" s="286"/>
      <c r="R71" s="286"/>
    </row>
    <row r="72" spans="1:18">
      <c r="A72" s="286"/>
      <c r="B72" s="286"/>
      <c r="C72" s="286"/>
      <c r="D72" s="286"/>
      <c r="E72" s="286"/>
      <c r="F72" s="286"/>
      <c r="G72" s="286"/>
      <c r="H72" s="286"/>
      <c r="I72" s="286"/>
      <c r="J72" s="286"/>
      <c r="K72" s="286"/>
      <c r="L72" s="286"/>
      <c r="M72" s="286"/>
      <c r="N72" s="286"/>
      <c r="O72" s="286"/>
      <c r="P72" s="286"/>
      <c r="Q72" s="286"/>
      <c r="R72" s="286"/>
    </row>
    <row r="73" spans="1:18">
      <c r="A73" s="286"/>
      <c r="B73" s="286"/>
      <c r="C73" s="286"/>
      <c r="D73" s="286"/>
      <c r="E73" s="286"/>
      <c r="F73" s="286"/>
      <c r="G73" s="286"/>
      <c r="H73" s="286"/>
      <c r="I73" s="286"/>
      <c r="J73" s="286"/>
      <c r="K73" s="286"/>
      <c r="L73" s="286"/>
      <c r="M73" s="286"/>
      <c r="N73" s="286"/>
      <c r="O73" s="286"/>
      <c r="P73" s="286"/>
      <c r="Q73" s="286"/>
      <c r="R73" s="286"/>
    </row>
    <row r="74" spans="1:18">
      <c r="A74" s="286"/>
      <c r="B74" s="286"/>
      <c r="C74" s="286"/>
      <c r="D74" s="286"/>
      <c r="E74" s="286"/>
      <c r="F74" s="286"/>
      <c r="G74" s="286"/>
      <c r="H74" s="286"/>
      <c r="I74" s="286"/>
      <c r="J74" s="286"/>
      <c r="K74" s="286"/>
      <c r="L74" s="286"/>
      <c r="M74" s="286"/>
      <c r="N74" s="286"/>
      <c r="O74" s="286"/>
      <c r="P74" s="286"/>
      <c r="Q74" s="286"/>
      <c r="R74" s="286"/>
    </row>
    <row r="75" spans="1:18">
      <c r="A75" s="286"/>
      <c r="B75" s="286"/>
      <c r="C75" s="286"/>
      <c r="D75" s="286"/>
      <c r="E75" s="286"/>
      <c r="F75" s="286"/>
      <c r="G75" s="286"/>
      <c r="H75" s="286"/>
      <c r="I75" s="286"/>
      <c r="J75" s="286"/>
      <c r="K75" s="286"/>
      <c r="L75" s="286"/>
      <c r="M75" s="286"/>
      <c r="N75" s="286"/>
      <c r="O75" s="286"/>
      <c r="P75" s="286"/>
      <c r="Q75" s="286"/>
      <c r="R75" s="286"/>
    </row>
    <row r="76" spans="1:18">
      <c r="A76" s="286"/>
      <c r="B76" s="286"/>
      <c r="C76" s="286"/>
      <c r="D76" s="286"/>
      <c r="E76" s="286"/>
      <c r="F76" s="286"/>
      <c r="G76" s="286"/>
      <c r="H76" s="286"/>
      <c r="I76" s="286"/>
      <c r="J76" s="286"/>
      <c r="K76" s="286"/>
      <c r="L76" s="286"/>
      <c r="M76" s="286"/>
      <c r="N76" s="286"/>
      <c r="O76" s="286"/>
      <c r="P76" s="286"/>
      <c r="Q76" s="286"/>
      <c r="R76" s="286"/>
    </row>
    <row r="77" spans="1:18">
      <c r="A77" s="286"/>
      <c r="B77" s="286"/>
      <c r="C77" s="286"/>
      <c r="D77" s="286"/>
      <c r="E77" s="286"/>
      <c r="F77" s="286"/>
      <c r="G77" s="286"/>
      <c r="H77" s="286"/>
      <c r="I77" s="286"/>
      <c r="J77" s="286"/>
      <c r="K77" s="286"/>
      <c r="L77" s="286"/>
      <c r="M77" s="286"/>
      <c r="N77" s="286"/>
      <c r="O77" s="286"/>
      <c r="P77" s="286"/>
      <c r="Q77" s="286"/>
      <c r="R77" s="286"/>
    </row>
    <row r="78" spans="1:18">
      <c r="A78" s="286"/>
      <c r="B78" s="286"/>
      <c r="C78" s="286"/>
      <c r="D78" s="286"/>
      <c r="E78" s="286"/>
      <c r="F78" s="286"/>
      <c r="G78" s="286"/>
      <c r="H78" s="286"/>
      <c r="I78" s="286"/>
      <c r="J78" s="286"/>
      <c r="K78" s="286"/>
      <c r="L78" s="286"/>
      <c r="M78" s="286"/>
      <c r="N78" s="286"/>
      <c r="O78" s="286"/>
      <c r="P78" s="286"/>
      <c r="Q78" s="286"/>
      <c r="R78" s="286"/>
    </row>
    <row r="79" spans="1:18">
      <c r="A79" s="286"/>
      <c r="B79" s="286"/>
      <c r="C79" s="286"/>
      <c r="D79" s="286"/>
      <c r="E79" s="286"/>
      <c r="F79" s="286"/>
      <c r="G79" s="286"/>
      <c r="H79" s="286"/>
      <c r="I79" s="286"/>
      <c r="J79" s="286"/>
      <c r="K79" s="286"/>
      <c r="L79" s="286"/>
      <c r="M79" s="286"/>
      <c r="N79" s="286"/>
      <c r="O79" s="286"/>
      <c r="P79" s="286"/>
      <c r="Q79" s="286"/>
      <c r="R79" s="286"/>
    </row>
    <row r="80" spans="1:18">
      <c r="A80" s="286"/>
      <c r="B80" s="286"/>
      <c r="C80" s="286"/>
      <c r="D80" s="286"/>
      <c r="E80" s="286"/>
      <c r="F80" s="286"/>
      <c r="G80" s="286"/>
      <c r="H80" s="286"/>
      <c r="I80" s="286"/>
      <c r="J80" s="286"/>
      <c r="K80" s="286"/>
      <c r="L80" s="286"/>
      <c r="M80" s="286"/>
      <c r="N80" s="286"/>
      <c r="O80" s="286"/>
      <c r="P80" s="286"/>
      <c r="Q80" s="286"/>
      <c r="R80" s="286"/>
    </row>
    <row r="81" spans="1:18">
      <c r="A81" s="286"/>
      <c r="B81" s="286"/>
      <c r="C81" s="286"/>
      <c r="D81" s="286"/>
      <c r="E81" s="286"/>
      <c r="F81" s="286"/>
      <c r="G81" s="286"/>
      <c r="H81" s="286"/>
      <c r="I81" s="286"/>
      <c r="J81" s="286"/>
      <c r="K81" s="286"/>
      <c r="L81" s="286"/>
      <c r="M81" s="286"/>
      <c r="N81" s="286"/>
      <c r="O81" s="286"/>
      <c r="P81" s="286"/>
      <c r="Q81" s="286"/>
      <c r="R81" s="286"/>
    </row>
    <row r="82" spans="1:18">
      <c r="A82" s="286"/>
      <c r="B82" s="286"/>
      <c r="C82" s="286"/>
      <c r="D82" s="286"/>
      <c r="E82" s="286"/>
      <c r="F82" s="286"/>
      <c r="G82" s="286"/>
      <c r="H82" s="286"/>
      <c r="I82" s="286"/>
      <c r="J82" s="286"/>
      <c r="K82" s="286"/>
      <c r="L82" s="286"/>
      <c r="M82" s="286"/>
      <c r="N82" s="286"/>
      <c r="O82" s="286"/>
      <c r="P82" s="286"/>
      <c r="Q82" s="286"/>
      <c r="R82" s="286"/>
    </row>
    <row r="83" spans="1:18">
      <c r="A83" s="286"/>
      <c r="B83" s="286"/>
      <c r="C83" s="286"/>
      <c r="D83" s="286"/>
      <c r="E83" s="286"/>
      <c r="F83" s="286"/>
      <c r="G83" s="286"/>
      <c r="H83" s="286"/>
      <c r="I83" s="286"/>
      <c r="J83" s="286"/>
      <c r="K83" s="286"/>
      <c r="L83" s="286"/>
      <c r="M83" s="286"/>
      <c r="N83" s="286"/>
      <c r="O83" s="286"/>
      <c r="P83" s="286"/>
      <c r="Q83" s="286"/>
      <c r="R83" s="286"/>
    </row>
    <row r="84" spans="1:18">
      <c r="A84" s="286"/>
      <c r="B84" s="286"/>
      <c r="C84" s="286"/>
      <c r="D84" s="286"/>
      <c r="E84" s="286"/>
      <c r="F84" s="286"/>
      <c r="G84" s="286"/>
      <c r="H84" s="286"/>
      <c r="I84" s="286"/>
      <c r="J84" s="286"/>
      <c r="K84" s="286"/>
      <c r="L84" s="286"/>
      <c r="M84" s="286"/>
      <c r="N84" s="286"/>
      <c r="O84" s="286"/>
      <c r="P84" s="286"/>
      <c r="Q84" s="286"/>
      <c r="R84" s="286"/>
    </row>
    <row r="85" spans="1:18">
      <c r="A85" s="286"/>
      <c r="B85" s="286"/>
      <c r="C85" s="286"/>
      <c r="D85" s="286"/>
      <c r="E85" s="286"/>
      <c r="F85" s="286"/>
      <c r="G85" s="286"/>
      <c r="H85" s="286"/>
      <c r="I85" s="286"/>
      <c r="J85" s="286"/>
      <c r="K85" s="286"/>
      <c r="L85" s="286"/>
      <c r="M85" s="286"/>
      <c r="N85" s="286"/>
      <c r="O85" s="286"/>
      <c r="P85" s="286"/>
      <c r="Q85" s="286"/>
      <c r="R85" s="286"/>
    </row>
    <row r="86" spans="1:18">
      <c r="A86" s="286"/>
      <c r="B86" s="286"/>
      <c r="C86" s="286"/>
      <c r="D86" s="286"/>
      <c r="E86" s="286"/>
      <c r="F86" s="286"/>
      <c r="G86" s="286"/>
      <c r="H86" s="286"/>
      <c r="I86" s="286"/>
      <c r="J86" s="286"/>
      <c r="K86" s="286"/>
      <c r="L86" s="286"/>
      <c r="M86" s="286"/>
      <c r="N86" s="286"/>
      <c r="O86" s="286"/>
      <c r="P86" s="286"/>
      <c r="Q86" s="286"/>
      <c r="R86" s="286"/>
    </row>
    <row r="87" spans="1:18">
      <c r="A87" s="286"/>
      <c r="B87" s="286"/>
      <c r="C87" s="286"/>
      <c r="D87" s="286"/>
      <c r="E87" s="286"/>
      <c r="F87" s="286"/>
      <c r="G87" s="286"/>
      <c r="H87" s="286"/>
      <c r="I87" s="286"/>
      <c r="J87" s="286"/>
      <c r="K87" s="286"/>
      <c r="L87" s="286"/>
      <c r="M87" s="286"/>
      <c r="N87" s="286"/>
      <c r="O87" s="286"/>
      <c r="P87" s="286"/>
      <c r="Q87" s="286"/>
      <c r="R87" s="286"/>
    </row>
    <row r="88" spans="1:18">
      <c r="A88" s="286"/>
      <c r="B88" s="286"/>
      <c r="C88" s="286"/>
      <c r="D88" s="286"/>
      <c r="E88" s="286"/>
      <c r="F88" s="286"/>
      <c r="G88" s="286"/>
      <c r="H88" s="286"/>
      <c r="I88" s="286"/>
      <c r="J88" s="286"/>
      <c r="K88" s="286"/>
      <c r="L88" s="286"/>
      <c r="M88" s="286"/>
      <c r="N88" s="286"/>
      <c r="O88" s="286"/>
      <c r="P88" s="286"/>
      <c r="Q88" s="286"/>
      <c r="R88" s="286"/>
    </row>
    <row r="89" spans="1:18">
      <c r="A89" s="286"/>
      <c r="B89" s="286"/>
      <c r="C89" s="286"/>
      <c r="D89" s="286"/>
      <c r="E89" s="286"/>
      <c r="F89" s="286"/>
      <c r="G89" s="286"/>
      <c r="H89" s="286"/>
      <c r="I89" s="286"/>
      <c r="J89" s="286"/>
      <c r="K89" s="286"/>
      <c r="L89" s="286"/>
      <c r="M89" s="286"/>
      <c r="N89" s="286"/>
      <c r="O89" s="286"/>
      <c r="P89" s="286"/>
      <c r="Q89" s="286"/>
      <c r="R89" s="286"/>
    </row>
    <row r="90" spans="1:18">
      <c r="A90" s="286"/>
      <c r="B90" s="286"/>
      <c r="C90" s="286"/>
      <c r="D90" s="286"/>
      <c r="E90" s="286"/>
      <c r="F90" s="286"/>
      <c r="G90" s="286"/>
      <c r="H90" s="286"/>
      <c r="I90" s="286"/>
      <c r="J90" s="286"/>
      <c r="K90" s="286"/>
      <c r="L90" s="286"/>
      <c r="M90" s="286"/>
      <c r="N90" s="286"/>
      <c r="O90" s="286"/>
      <c r="P90" s="286"/>
      <c r="Q90" s="286"/>
      <c r="R90" s="286"/>
    </row>
    <row r="91" spans="1:18">
      <c r="A91" s="286"/>
      <c r="B91" s="286"/>
      <c r="C91" s="286"/>
      <c r="D91" s="286"/>
      <c r="E91" s="286"/>
      <c r="F91" s="286"/>
      <c r="G91" s="286"/>
      <c r="H91" s="286"/>
      <c r="I91" s="286"/>
      <c r="J91" s="286"/>
      <c r="K91" s="286"/>
      <c r="L91" s="286"/>
      <c r="M91" s="286"/>
      <c r="N91" s="286"/>
      <c r="O91" s="286"/>
      <c r="P91" s="286"/>
      <c r="Q91" s="286"/>
      <c r="R91" s="286"/>
    </row>
    <row r="92" spans="1:18">
      <c r="A92" s="286"/>
      <c r="B92" s="286"/>
      <c r="C92" s="286"/>
      <c r="D92" s="286"/>
      <c r="E92" s="286"/>
      <c r="F92" s="286"/>
      <c r="G92" s="286"/>
      <c r="H92" s="286"/>
      <c r="I92" s="286"/>
      <c r="J92" s="286"/>
      <c r="K92" s="286"/>
      <c r="L92" s="286"/>
      <c r="M92" s="286"/>
      <c r="N92" s="286"/>
      <c r="O92" s="286"/>
      <c r="P92" s="286"/>
      <c r="Q92" s="286"/>
      <c r="R92" s="286"/>
    </row>
    <row r="93" spans="1:18">
      <c r="A93" s="286"/>
      <c r="B93" s="286"/>
      <c r="C93" s="286"/>
      <c r="D93" s="286"/>
      <c r="E93" s="286"/>
      <c r="F93" s="286"/>
      <c r="G93" s="286"/>
      <c r="H93" s="286"/>
      <c r="I93" s="286"/>
      <c r="J93" s="286"/>
      <c r="K93" s="286"/>
      <c r="L93" s="286"/>
      <c r="M93" s="286"/>
      <c r="N93" s="286"/>
      <c r="O93" s="286"/>
      <c r="P93" s="286"/>
      <c r="Q93" s="286"/>
      <c r="R93" s="286"/>
    </row>
    <row r="94" spans="1:18">
      <c r="A94" s="286"/>
      <c r="B94" s="286"/>
      <c r="C94" s="286"/>
      <c r="D94" s="286"/>
      <c r="E94" s="286"/>
      <c r="F94" s="286"/>
      <c r="G94" s="286"/>
      <c r="H94" s="286"/>
      <c r="I94" s="286"/>
      <c r="J94" s="286"/>
      <c r="K94" s="286"/>
      <c r="L94" s="286"/>
      <c r="M94" s="286"/>
      <c r="N94" s="286"/>
      <c r="O94" s="286"/>
      <c r="P94" s="286"/>
      <c r="Q94" s="286"/>
      <c r="R94" s="286"/>
    </row>
    <row r="95" spans="1:18">
      <c r="A95" s="286"/>
      <c r="B95" s="286"/>
      <c r="C95" s="286"/>
      <c r="D95" s="286"/>
      <c r="E95" s="286"/>
      <c r="F95" s="286"/>
      <c r="G95" s="286"/>
      <c r="H95" s="286"/>
      <c r="I95" s="286"/>
      <c r="J95" s="286"/>
      <c r="K95" s="286"/>
      <c r="L95" s="286"/>
      <c r="M95" s="286"/>
      <c r="N95" s="286"/>
      <c r="O95" s="286"/>
      <c r="P95" s="286"/>
      <c r="Q95" s="286"/>
      <c r="R95" s="286"/>
    </row>
  </sheetData>
  <mergeCells count="17">
    <mergeCell ref="A2:K2"/>
    <mergeCell ref="M2:Y2"/>
    <mergeCell ref="A3:K3"/>
    <mergeCell ref="M3:Y3"/>
    <mergeCell ref="A4:K4"/>
    <mergeCell ref="M4:Y4"/>
    <mergeCell ref="A5:K5"/>
    <mergeCell ref="M5:Y5"/>
    <mergeCell ref="B9:K9"/>
    <mergeCell ref="M9:AC9"/>
    <mergeCell ref="G11:G12"/>
    <mergeCell ref="Q11:AC11"/>
    <mergeCell ref="B20:K20"/>
    <mergeCell ref="M21:AC21"/>
    <mergeCell ref="Q22:AC22"/>
    <mergeCell ref="B54:K54"/>
    <mergeCell ref="M54:AC54"/>
  </mergeCells>
  <printOptions horizontalCentered="1"/>
  <pageMargins left="0.25" right="0.25" top="1" bottom="0.25" header="0.25" footer="0"/>
  <pageSetup scale="45" fitToWidth="2" orientation="landscape" horizontalDpi="1200" verticalDpi="1200" r:id="rId1"/>
  <headerFooter alignWithMargins="0">
    <oddHeader xml:space="preserve">&amp;R&amp;14AEP - SPP Formula Rate
TCOS - WS D
Page: &amp;P of &amp;N&amp;18
</oddHeader>
    <oddFooter xml:space="preserve">&amp;R &amp;C </oddFooter>
  </headerFooter>
  <colBreaks count="1" manualBreakCount="1">
    <brk id="11" max="52"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O102"/>
  <sheetViews>
    <sheetView zoomScale="81" zoomScaleNormal="81" zoomScaleSheetLayoutView="100" workbookViewId="0">
      <selection activeCell="C10" sqref="C10"/>
    </sheetView>
  </sheetViews>
  <sheetFormatPr defaultColWidth="8.81640625" defaultRowHeight="12.5"/>
  <cols>
    <col min="1" max="1" width="9.1796875" style="354" customWidth="1"/>
    <col min="2" max="2" width="65.1796875" style="286" bestFit="1" customWidth="1"/>
    <col min="3" max="3" width="16.453125" style="286" bestFit="1" customWidth="1"/>
    <col min="4" max="4" width="1.54296875" style="286" customWidth="1"/>
    <col min="5" max="5" width="15" style="286" bestFit="1" customWidth="1"/>
    <col min="6" max="7" width="8.81640625" style="286"/>
    <col min="8" max="8" width="10.81640625" style="286" bestFit="1" customWidth="1"/>
    <col min="9" max="16384" width="8.81640625" style="286"/>
  </cols>
  <sheetData>
    <row r="1" spans="1:15" ht="15.5">
      <c r="A1" s="206"/>
    </row>
    <row r="2" spans="1:15" ht="15.5">
      <c r="A2" s="2284" t="str">
        <f>+'SWEPCO TCOS'!F4</f>
        <v xml:space="preserve">AEP West SPP Member Operating Companies </v>
      </c>
      <c r="B2" s="2284"/>
      <c r="C2" s="2284"/>
      <c r="D2" s="2284"/>
      <c r="E2" s="2284"/>
      <c r="F2" s="47"/>
      <c r="G2" s="47"/>
      <c r="H2" s="47"/>
      <c r="I2" s="47"/>
      <c r="J2" s="47"/>
      <c r="K2" s="47"/>
      <c r="L2" s="47"/>
      <c r="M2" s="47"/>
      <c r="N2" s="47"/>
      <c r="O2" s="47"/>
    </row>
    <row r="3" spans="1:15" ht="15.5">
      <c r="A3" s="2402" t="str">
        <f>+'SWEPCO WS A-1 - Plant'!A3</f>
        <v xml:space="preserve">Actual / Projected 2024 Rate Year Cost of Service Formula Rate </v>
      </c>
      <c r="B3" s="2402"/>
      <c r="C3" s="2402"/>
      <c r="D3" s="2402"/>
      <c r="E3" s="2402"/>
      <c r="F3" s="1376"/>
      <c r="G3" s="1376"/>
      <c r="H3" s="1376"/>
      <c r="I3" s="1376"/>
      <c r="J3" s="1376"/>
      <c r="K3" s="1376"/>
      <c r="L3" s="1376"/>
      <c r="M3" s="874"/>
      <c r="N3" s="874"/>
      <c r="O3" s="874"/>
    </row>
    <row r="4" spans="1:15" ht="15.5">
      <c r="A4" s="2403" t="s">
        <v>111</v>
      </c>
      <c r="B4" s="2402"/>
      <c r="C4" s="2402"/>
      <c r="D4" s="2402"/>
      <c r="E4" s="2402"/>
      <c r="F4" s="1376"/>
      <c r="G4" s="1376"/>
      <c r="H4" s="1376"/>
      <c r="I4" s="1376"/>
      <c r="J4" s="1376"/>
      <c r="K4" s="1376"/>
      <c r="L4" s="1376"/>
      <c r="M4" s="1376"/>
      <c r="N4" s="1376"/>
      <c r="O4" s="1376"/>
    </row>
    <row r="5" spans="1:15" ht="15.5">
      <c r="A5" s="2340" t="str">
        <f>+'SWEPCO TCOS'!F8</f>
        <v>SOUTHWESTERN ELECTRIC POWER COMPANY</v>
      </c>
      <c r="B5" s="2340"/>
      <c r="C5" s="2340"/>
      <c r="D5" s="2340"/>
      <c r="E5" s="2340"/>
      <c r="F5" s="115"/>
      <c r="G5" s="115"/>
      <c r="H5" s="115"/>
      <c r="I5" s="115"/>
      <c r="J5" s="115"/>
      <c r="K5" s="115"/>
      <c r="L5" s="115"/>
      <c r="M5" s="115"/>
      <c r="N5" s="115"/>
      <c r="O5" s="115"/>
    </row>
    <row r="7" spans="1:15" ht="13">
      <c r="A7" s="41" t="s">
        <v>308</v>
      </c>
      <c r="B7" s="33" t="s">
        <v>301</v>
      </c>
      <c r="C7" s="33" t="s">
        <v>302</v>
      </c>
    </row>
    <row r="8" spans="1:15" ht="13">
      <c r="A8" s="41" t="s">
        <v>246</v>
      </c>
      <c r="B8" s="41" t="s">
        <v>306</v>
      </c>
      <c r="C8" s="41">
        <f>+'SWEPCO TCOS'!N2</f>
        <v>2024</v>
      </c>
    </row>
    <row r="9" spans="1:15" ht="13">
      <c r="B9" s="921"/>
      <c r="C9" s="33"/>
    </row>
    <row r="10" spans="1:15">
      <c r="A10" s="354">
        <v>1</v>
      </c>
      <c r="B10" s="1410" t="str">
        <f>"Net Funds from IPP Customers @ 12/31/"&amp;C8-1&amp;" ("&amp;C8&amp;" FORM 1, P269, (B))"</f>
        <v>Net Funds from IPP Customers @ 12/31/2023 (2024 FORM 1, P269, (B))</v>
      </c>
      <c r="C10" s="712">
        <v>24241915</v>
      </c>
      <c r="D10" s="1350"/>
      <c r="E10"/>
      <c r="F10"/>
      <c r="G10"/>
      <c r="H10"/>
      <c r="I10"/>
      <c r="J10"/>
      <c r="K10"/>
      <c r="L10"/>
      <c r="M10"/>
      <c r="N10"/>
    </row>
    <row r="11" spans="1:15">
      <c r="A11" s="354" t="s">
        <v>118</v>
      </c>
      <c r="B11" s="1410"/>
      <c r="C11" s="1350"/>
      <c r="D11" s="1350"/>
      <c r="E11"/>
      <c r="F11"/>
      <c r="G11"/>
      <c r="H11"/>
      <c r="I11"/>
      <c r="J11"/>
      <c r="K11"/>
      <c r="L11"/>
      <c r="M11"/>
      <c r="N11"/>
    </row>
    <row r="12" spans="1:15">
      <c r="A12" s="354">
        <v>2</v>
      </c>
      <c r="B12" s="559" t="s">
        <v>615</v>
      </c>
      <c r="C12" s="712"/>
      <c r="D12" s="1350"/>
      <c r="E12"/>
      <c r="F12"/>
      <c r="G12"/>
      <c r="H12"/>
      <c r="I12"/>
      <c r="J12"/>
      <c r="K12"/>
      <c r="L12"/>
      <c r="M12"/>
      <c r="N12"/>
    </row>
    <row r="13" spans="1:15">
      <c r="B13" s="1410"/>
      <c r="C13" s="1350"/>
      <c r="D13" s="1350"/>
      <c r="E13"/>
      <c r="F13"/>
      <c r="G13"/>
      <c r="H13"/>
      <c r="I13"/>
      <c r="J13"/>
      <c r="K13"/>
      <c r="L13"/>
      <c r="M13"/>
      <c r="N13"/>
    </row>
    <row r="14" spans="1:15">
      <c r="A14" s="354">
        <f>+A12+1</f>
        <v>3</v>
      </c>
      <c r="B14" s="559" t="s">
        <v>616</v>
      </c>
      <c r="C14" s="712">
        <f>24076384-24241915</f>
        <v>-165531</v>
      </c>
      <c r="D14" s="1350"/>
      <c r="E14"/>
      <c r="F14"/>
      <c r="G14"/>
      <c r="H14"/>
      <c r="I14"/>
      <c r="J14"/>
      <c r="K14"/>
      <c r="L14"/>
      <c r="M14"/>
      <c r="N14"/>
    </row>
    <row r="15" spans="1:15">
      <c r="B15" s="1410"/>
      <c r="C15" s="1350"/>
      <c r="D15" s="1350"/>
      <c r="E15"/>
      <c r="F15"/>
      <c r="G15"/>
      <c r="H15"/>
      <c r="I15"/>
      <c r="J15"/>
      <c r="K15"/>
      <c r="L15"/>
      <c r="M15"/>
      <c r="N15"/>
    </row>
    <row r="16" spans="1:15">
      <c r="A16" s="354">
        <f>+A14+1</f>
        <v>4</v>
      </c>
      <c r="B16" s="924" t="s">
        <v>617</v>
      </c>
      <c r="C16" s="1350"/>
      <c r="D16" s="1350"/>
      <c r="E16"/>
      <c r="F16"/>
      <c r="G16"/>
      <c r="H16"/>
      <c r="I16"/>
      <c r="J16"/>
      <c r="K16"/>
      <c r="L16"/>
      <c r="M16"/>
      <c r="N16"/>
    </row>
    <row r="17" spans="1:14">
      <c r="A17" s="354">
        <f>+A16+1</f>
        <v>5</v>
      </c>
      <c r="B17" s="1410" t="s">
        <v>358</v>
      </c>
      <c r="C17" s="787"/>
      <c r="D17" s="1350"/>
      <c r="E17"/>
      <c r="F17"/>
      <c r="G17"/>
      <c r="H17"/>
      <c r="I17"/>
      <c r="J17"/>
      <c r="K17"/>
      <c r="L17"/>
      <c r="M17"/>
      <c r="N17"/>
    </row>
    <row r="18" spans="1:14">
      <c r="A18" s="354">
        <f>+A17+1</f>
        <v>6</v>
      </c>
      <c r="B18" s="1410" t="s">
        <v>254</v>
      </c>
      <c r="C18" s="787"/>
      <c r="D18" s="1350"/>
      <c r="E18"/>
      <c r="F18"/>
      <c r="G18"/>
      <c r="H18"/>
      <c r="I18"/>
      <c r="J18"/>
      <c r="K18"/>
      <c r="L18"/>
      <c r="M18"/>
      <c r="N18"/>
    </row>
    <row r="19" spans="1:14">
      <c r="B19" s="1410"/>
      <c r="C19" s="1411"/>
      <c r="D19" s="1350"/>
      <c r="E19"/>
      <c r="F19"/>
      <c r="G19"/>
      <c r="H19"/>
      <c r="I19"/>
      <c r="J19"/>
      <c r="K19"/>
      <c r="L19"/>
      <c r="M19"/>
      <c r="N19"/>
    </row>
    <row r="20" spans="1:14">
      <c r="A20" s="354">
        <f>+A18+1</f>
        <v>7</v>
      </c>
      <c r="B20" s="1410" t="str">
        <f>" Net Funds from IPP Customers 12/31/"&amp;C8&amp;" ("&amp;C8&amp;" FORM 1, P269, (F))"</f>
        <v xml:space="preserve"> Net Funds from IPP Customers 12/31/2024 (2024 FORM 1, P269, (F))</v>
      </c>
      <c r="C20" s="1350">
        <f>+C10+C12+C14+C17+C18</f>
        <v>24076384</v>
      </c>
      <c r="D20" s="1337"/>
      <c r="E20"/>
      <c r="F20"/>
      <c r="G20"/>
      <c r="H20"/>
      <c r="I20"/>
      <c r="J20"/>
      <c r="K20"/>
      <c r="L20"/>
      <c r="M20"/>
      <c r="N20"/>
    </row>
    <row r="21" spans="1:14">
      <c r="B21" s="1410"/>
      <c r="C21" s="1350"/>
      <c r="D21" s="1350"/>
      <c r="E21"/>
      <c r="F21"/>
      <c r="G21"/>
      <c r="H21"/>
      <c r="I21"/>
      <c r="J21"/>
      <c r="K21"/>
      <c r="L21"/>
      <c r="M21"/>
      <c r="N21"/>
    </row>
    <row r="22" spans="1:14">
      <c r="A22" s="354">
        <f>+A20+1</f>
        <v>8</v>
      </c>
      <c r="B22" s="1410" t="str">
        <f>"Average Balance for "&amp;C8&amp;" ((ln "&amp;A10&amp;" + ln "&amp;A20&amp;")/2)"</f>
        <v>Average Balance for 2024 ((ln 1 + ln 7)/2)</v>
      </c>
      <c r="C22" s="1412">
        <f>AVERAGE(C20,C10)</f>
        <v>24159149.5</v>
      </c>
      <c r="D22" s="1350"/>
      <c r="E22"/>
      <c r="F22"/>
      <c r="G22"/>
      <c r="H22"/>
      <c r="I22"/>
      <c r="J22"/>
      <c r="K22"/>
      <c r="L22"/>
      <c r="M22"/>
      <c r="N22"/>
    </row>
    <row r="23" spans="1:14">
      <c r="C23" s="1350"/>
      <c r="D23" s="1350"/>
      <c r="E23"/>
      <c r="F23"/>
      <c r="G23"/>
      <c r="H23"/>
      <c r="I23"/>
      <c r="J23"/>
      <c r="K23"/>
      <c r="L23"/>
      <c r="M23"/>
      <c r="N23"/>
    </row>
    <row r="24" spans="1:14">
      <c r="C24" s="1350"/>
      <c r="D24" s="1350"/>
      <c r="E24"/>
      <c r="F24"/>
      <c r="G24"/>
      <c r="H24"/>
      <c r="I24"/>
      <c r="J24"/>
      <c r="K24"/>
      <c r="L24"/>
      <c r="M24"/>
      <c r="N24"/>
    </row>
    <row r="25" spans="1:14">
      <c r="E25"/>
      <c r="F25"/>
      <c r="G25"/>
      <c r="H25"/>
      <c r="I25"/>
      <c r="J25"/>
      <c r="K25"/>
      <c r="L25"/>
      <c r="M25"/>
      <c r="N25"/>
    </row>
    <row r="31" spans="1:14">
      <c r="D31" s="1413"/>
    </row>
    <row r="37" spans="3:3">
      <c r="C37" s="1414"/>
    </row>
    <row r="54" spans="1:1">
      <c r="A54" s="286"/>
    </row>
    <row r="55" spans="1:1">
      <c r="A55" s="286"/>
    </row>
    <row r="56" spans="1:1">
      <c r="A56" s="286"/>
    </row>
    <row r="57" spans="1:1">
      <c r="A57" s="286"/>
    </row>
    <row r="58" spans="1:1">
      <c r="A58" s="286"/>
    </row>
    <row r="59" spans="1:1">
      <c r="A59" s="286"/>
    </row>
    <row r="60" spans="1:1">
      <c r="A60" s="286"/>
    </row>
    <row r="61" spans="1:1">
      <c r="A61" s="286"/>
    </row>
    <row r="62" spans="1:1">
      <c r="A62" s="286"/>
    </row>
    <row r="63" spans="1:1">
      <c r="A63" s="286"/>
    </row>
    <row r="64" spans="1:1">
      <c r="A64" s="286"/>
    </row>
    <row r="65" spans="1:1">
      <c r="A65" s="286"/>
    </row>
    <row r="66" spans="1:1">
      <c r="A66" s="286"/>
    </row>
    <row r="67" spans="1:1">
      <c r="A67" s="286"/>
    </row>
    <row r="68" spans="1:1">
      <c r="A68" s="286"/>
    </row>
    <row r="69" spans="1:1">
      <c r="A69" s="286"/>
    </row>
    <row r="70" spans="1:1">
      <c r="A70" s="286"/>
    </row>
    <row r="71" spans="1:1">
      <c r="A71" s="286"/>
    </row>
    <row r="72" spans="1:1">
      <c r="A72" s="286"/>
    </row>
    <row r="73" spans="1:1">
      <c r="A73" s="286"/>
    </row>
    <row r="74" spans="1:1">
      <c r="A74" s="286"/>
    </row>
    <row r="75" spans="1:1">
      <c r="A75" s="286"/>
    </row>
    <row r="76" spans="1:1">
      <c r="A76" s="286"/>
    </row>
    <row r="77" spans="1:1">
      <c r="A77" s="286"/>
    </row>
    <row r="78" spans="1:1">
      <c r="A78" s="286"/>
    </row>
    <row r="79" spans="1:1">
      <c r="A79" s="286"/>
    </row>
    <row r="80" spans="1:1">
      <c r="A80" s="286"/>
    </row>
    <row r="81" spans="1:1">
      <c r="A81" s="286"/>
    </row>
    <row r="82" spans="1:1">
      <c r="A82" s="286"/>
    </row>
    <row r="83" spans="1:1">
      <c r="A83" s="286"/>
    </row>
    <row r="84" spans="1:1">
      <c r="A84" s="286"/>
    </row>
    <row r="85" spans="1:1">
      <c r="A85" s="286"/>
    </row>
    <row r="86" spans="1:1">
      <c r="A86" s="286"/>
    </row>
    <row r="87" spans="1:1">
      <c r="A87" s="286"/>
    </row>
    <row r="88" spans="1:1">
      <c r="A88" s="286"/>
    </row>
    <row r="89" spans="1:1">
      <c r="A89" s="286"/>
    </row>
    <row r="90" spans="1:1">
      <c r="A90" s="286"/>
    </row>
    <row r="91" spans="1:1">
      <c r="A91" s="286"/>
    </row>
    <row r="92" spans="1:1">
      <c r="A92" s="286"/>
    </row>
    <row r="93" spans="1:1">
      <c r="A93" s="286"/>
    </row>
    <row r="94" spans="1:1">
      <c r="A94" s="286"/>
    </row>
    <row r="95" spans="1:1">
      <c r="A95" s="286"/>
    </row>
    <row r="96" spans="1:1">
      <c r="A96" s="286"/>
    </row>
    <row r="97" spans="1:1">
      <c r="A97" s="286"/>
    </row>
    <row r="98" spans="1:1">
      <c r="A98" s="286"/>
    </row>
    <row r="99" spans="1:1">
      <c r="A99" s="286"/>
    </row>
    <row r="100" spans="1:1">
      <c r="A100" s="286"/>
    </row>
    <row r="101" spans="1:1">
      <c r="A101" s="286"/>
    </row>
    <row r="102" spans="1:1">
      <c r="A102" s="286"/>
    </row>
  </sheetData>
  <mergeCells count="4">
    <mergeCell ref="A2:E2"/>
    <mergeCell ref="A3:E3"/>
    <mergeCell ref="A4:E4"/>
    <mergeCell ref="A5:E5"/>
  </mergeCells>
  <printOptions horizontalCentered="1"/>
  <pageMargins left="0.75" right="0.75" top="1" bottom="0.25" header="0.25" footer="0.5"/>
  <pageSetup scale="84" orientation="portrait" horizontalDpi="1200" verticalDpi="1200" r:id="rId1"/>
  <headerFooter alignWithMargins="0">
    <oddHeader xml:space="preserve">&amp;R&amp;11AEP - SPP Formula Rate
TCOS - WS E
Page: &amp;P of &amp;N&amp;14
</oddHeader>
    <oddFooter xml:space="preserve">&amp;R &amp;C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S167"/>
  <sheetViews>
    <sheetView topLeftCell="G25" zoomScale="81" zoomScaleNormal="81" zoomScaleSheetLayoutView="90" zoomScalePageLayoutView="80" workbookViewId="0">
      <selection activeCell="L86" sqref="L86"/>
    </sheetView>
  </sheetViews>
  <sheetFormatPr defaultColWidth="8.81640625" defaultRowHeight="12.5"/>
  <cols>
    <col min="1" max="1" width="9.453125" style="286" customWidth="1"/>
    <col min="2" max="2" width="6.54296875" style="286" customWidth="1"/>
    <col min="3" max="3" width="24.54296875" style="286" customWidth="1"/>
    <col min="4" max="4" width="17.54296875" style="354" customWidth="1"/>
    <col min="5" max="5" width="21.54296875" style="286" customWidth="1"/>
    <col min="6" max="8" width="17.54296875" style="286" customWidth="1"/>
    <col min="9" max="9" width="19.54296875" style="1337" customWidth="1"/>
    <col min="10" max="12" width="17.54296875" style="286" customWidth="1"/>
    <col min="13" max="13" width="20" style="286" customWidth="1"/>
    <col min="14" max="14" width="19.54296875" style="286" customWidth="1"/>
    <col min="15" max="15" width="19" style="286" customWidth="1"/>
    <col min="16" max="16" width="16.453125" style="286" customWidth="1"/>
    <col min="17" max="17" width="57.81640625" style="286" bestFit="1" customWidth="1"/>
    <col min="18" max="16384" width="8.81640625" style="286"/>
  </cols>
  <sheetData>
    <row r="1" spans="1:18" ht="15.5">
      <c r="A1" s="206"/>
    </row>
    <row r="2" spans="1:18" ht="17.5">
      <c r="A2" s="2405" t="str">
        <f>'SWEPCO TCOS'!F4</f>
        <v xml:space="preserve">AEP West SPP Member Operating Companies </v>
      </c>
      <c r="B2" s="2405"/>
      <c r="C2" s="2405"/>
      <c r="D2" s="2405"/>
      <c r="E2" s="2405"/>
      <c r="F2" s="2405"/>
      <c r="G2" s="2405"/>
      <c r="H2" s="2405"/>
      <c r="I2" s="2405"/>
    </row>
    <row r="3" spans="1:18" ht="17.5">
      <c r="A3" s="2405" t="str">
        <f>+'SWEPCO WS A-1 - Plant'!A3</f>
        <v xml:space="preserve">Actual / Projected 2024 Rate Year Cost of Service Formula Rate </v>
      </c>
      <c r="B3" s="2405"/>
      <c r="C3" s="2405"/>
      <c r="D3" s="2405"/>
      <c r="E3" s="2405"/>
      <c r="F3" s="2405"/>
      <c r="G3" s="2405"/>
      <c r="H3" s="2405"/>
      <c r="I3" s="2405"/>
      <c r="P3" s="928"/>
    </row>
    <row r="4" spans="1:18" ht="18">
      <c r="A4" s="2405" t="s">
        <v>656</v>
      </c>
      <c r="B4" s="2405"/>
      <c r="C4" s="2405"/>
      <c r="D4" s="2405"/>
      <c r="E4" s="2405"/>
      <c r="F4" s="2405"/>
      <c r="G4" s="2405"/>
      <c r="H4" s="2405"/>
      <c r="I4" s="2405"/>
    </row>
    <row r="5" spans="1:18" ht="18">
      <c r="A5" s="2291" t="str">
        <f>+'SWEPCO TCOS'!F8</f>
        <v>SOUTHWESTERN ELECTRIC POWER COMPANY</v>
      </c>
      <c r="B5" s="2291"/>
      <c r="C5" s="2291"/>
      <c r="D5" s="2291"/>
      <c r="E5" s="2291"/>
      <c r="F5" s="2291"/>
      <c r="G5" s="2291"/>
      <c r="H5" s="2291"/>
      <c r="I5" s="2291"/>
    </row>
    <row r="6" spans="1:18" ht="20">
      <c r="A6" s="36"/>
      <c r="C6" s="35"/>
      <c r="P6" s="928" t="s">
        <v>498</v>
      </c>
    </row>
    <row r="7" spans="1:18" ht="35.25" customHeight="1">
      <c r="A7" s="1415" t="s">
        <v>308</v>
      </c>
      <c r="B7" s="929" t="s">
        <v>310</v>
      </c>
      <c r="C7" s="2347" t="str">
        <f>"Calculate Return and Income Taxes with "&amp;F12&amp;" basis point ROE increase for Projects Qualified for Incentive."</f>
        <v>Calculate Return and Income Taxes with 0 basis point ROE increase for Projects Qualified for Incentive.</v>
      </c>
      <c r="D7" s="2406"/>
      <c r="E7" s="2406"/>
      <c r="F7" s="2406"/>
      <c r="G7" s="2406"/>
      <c r="H7" s="2406"/>
      <c r="I7" s="2406"/>
      <c r="J7" s="2407" t="s">
        <v>430</v>
      </c>
      <c r="K7" s="2407"/>
      <c r="L7" s="2407"/>
      <c r="M7" s="2407"/>
      <c r="N7" s="2407"/>
    </row>
    <row r="8" spans="1:18" ht="15.75" customHeight="1">
      <c r="A8" s="1415" t="s">
        <v>246</v>
      </c>
      <c r="C8" s="626"/>
      <c r="D8" s="626"/>
      <c r="E8" s="626"/>
      <c r="F8" s="626"/>
      <c r="G8" s="626"/>
      <c r="H8" s="626"/>
      <c r="I8" s="626"/>
      <c r="J8" s="2407"/>
      <c r="K8" s="2407"/>
      <c r="L8" s="2407"/>
      <c r="M8" s="2407"/>
      <c r="N8" s="2407"/>
      <c r="Q8" s="286" t="s">
        <v>166</v>
      </c>
    </row>
    <row r="9" spans="1:18" ht="15.5">
      <c r="C9" s="931" t="str">
        <f>"A.   Determine 'R' with hypothetical "&amp;F12&amp;" basis point increase in ROE for Identified Projects"</f>
        <v>A.   Determine 'R' with hypothetical 0 basis point increase in ROE for Identified Projects</v>
      </c>
      <c r="J9" s="2407"/>
      <c r="K9" s="2407"/>
      <c r="L9" s="2407"/>
      <c r="M9" s="2407"/>
      <c r="N9" s="2407"/>
      <c r="P9" s="932" t="s">
        <v>160</v>
      </c>
      <c r="Q9" s="928" t="s">
        <v>88</v>
      </c>
    </row>
    <row r="10" spans="1:18" ht="18" customHeight="1" thickBot="1">
      <c r="J10" s="2407"/>
      <c r="K10" s="2407"/>
      <c r="L10" s="2407"/>
      <c r="M10" s="2407"/>
      <c r="N10" s="2407"/>
      <c r="P10" s="928" t="s">
        <v>437</v>
      </c>
    </row>
    <row r="11" spans="1:18" ht="13.5" thickBot="1">
      <c r="A11" s="354">
        <v>1</v>
      </c>
      <c r="C11" s="270" t="str">
        <f>"   ROE w/o incentives  (TCOS, ln "&amp;'SWEPCO TCOS'!B237&amp;")"</f>
        <v xml:space="preserve">   ROE w/o incentives  (TCOS, ln 143)</v>
      </c>
      <c r="E11" s="1416"/>
      <c r="F11" s="1417">
        <f>+'SWEPCO TCOS'!J237</f>
        <v>0.105</v>
      </c>
      <c r="G11" s="1417"/>
      <c r="H11" s="1418"/>
      <c r="I11" s="641"/>
      <c r="J11" s="626"/>
      <c r="K11" s="626"/>
      <c r="L11" s="626"/>
      <c r="M11" s="626"/>
      <c r="N11" s="626"/>
      <c r="O11" s="1419"/>
      <c r="P11" s="1420" t="s">
        <v>479</v>
      </c>
      <c r="Q11" s="1421" t="s">
        <v>87</v>
      </c>
      <c r="R11" s="561"/>
    </row>
    <row r="12" spans="1:18" ht="18" customHeight="1">
      <c r="A12" s="354">
        <f>+A11+1</f>
        <v>2</v>
      </c>
      <c r="C12" s="270" t="s">
        <v>148</v>
      </c>
      <c r="E12" s="1416"/>
      <c r="F12" s="940">
        <v>0</v>
      </c>
      <c r="G12" s="1422" t="s">
        <v>338</v>
      </c>
      <c r="I12" s="286"/>
      <c r="J12" s="2341" t="s">
        <v>192</v>
      </c>
      <c r="K12" s="2342"/>
      <c r="L12" s="2342"/>
      <c r="M12" s="2342"/>
      <c r="N12" s="2343"/>
      <c r="O12" s="1419"/>
      <c r="P12" s="1423">
        <f>+K19</f>
        <v>2024</v>
      </c>
      <c r="Q12" s="1424" t="s">
        <v>51</v>
      </c>
      <c r="R12" s="561"/>
    </row>
    <row r="13" spans="1:18" ht="17.25" customHeight="1">
      <c r="A13" s="354">
        <f>+A12+1</f>
        <v>3</v>
      </c>
      <c r="C13" s="270" t="str">
        <f>"   ROE with additional "&amp;F12&amp;" basis point incentive"</f>
        <v xml:space="preserve">   ROE with additional 0 basis point incentive</v>
      </c>
      <c r="D13" s="1416"/>
      <c r="E13" s="1416"/>
      <c r="F13" s="1425">
        <f>IF((F11+(F12/10000)&gt;0.1245),"ERROR",F11+(F12/10000))</f>
        <v>0.105</v>
      </c>
      <c r="G13" s="944" t="s">
        <v>655</v>
      </c>
      <c r="I13" s="1419"/>
      <c r="J13" s="2344"/>
      <c r="K13" s="2345"/>
      <c r="L13" s="2345"/>
      <c r="M13" s="2345"/>
      <c r="N13" s="2346"/>
      <c r="O13" s="1419"/>
      <c r="P13" s="1525">
        <f>+'SWEPCO TCOS'!J237</f>
        <v>0.105</v>
      </c>
      <c r="Q13" s="286" t="str">
        <f>+C11</f>
        <v xml:space="preserve">   ROE w/o incentives  (TCOS, ln 143)</v>
      </c>
      <c r="R13" s="354"/>
    </row>
    <row r="14" spans="1:18" ht="16.5" customHeight="1">
      <c r="A14" s="354">
        <f t="shared" ref="A14:A73" si="0">+A13+1</f>
        <v>4</v>
      </c>
      <c r="C14" s="1426" t="str">
        <f>"   Determine R  (cost of long term debt, cost of preferred stock and percent is from TCOS, lns "&amp;'SWEPCO TCOS'!B235&amp;" through "&amp;'SWEPCO TCOS'!B237&amp;")"</f>
        <v xml:space="preserve">   Determine R  (cost of long term debt, cost of preferred stock and percent is from TCOS, lns 141 through 143)</v>
      </c>
      <c r="E14" s="1416"/>
      <c r="F14" s="1425"/>
      <c r="G14" s="1425"/>
      <c r="H14" s="1416"/>
      <c r="I14" s="1419"/>
      <c r="J14" s="2344"/>
      <c r="K14" s="2345"/>
      <c r="L14" s="2345"/>
      <c r="M14" s="2345"/>
      <c r="N14" s="2346"/>
      <c r="O14" s="1419"/>
      <c r="P14" s="1427">
        <v>0</v>
      </c>
      <c r="Q14" s="1424" t="s">
        <v>148</v>
      </c>
      <c r="R14" s="354"/>
    </row>
    <row r="15" spans="1:18" ht="16.5" customHeight="1">
      <c r="A15" s="354">
        <f t="shared" si="0"/>
        <v>5</v>
      </c>
      <c r="C15" s="1419"/>
      <c r="D15" s="948" t="s">
        <v>285</v>
      </c>
      <c r="E15" s="948" t="s">
        <v>284</v>
      </c>
      <c r="F15" s="949" t="s">
        <v>370</v>
      </c>
      <c r="G15" s="949"/>
      <c r="H15" s="1416"/>
      <c r="I15" s="1419"/>
      <c r="J15" s="950"/>
      <c r="K15" s="951"/>
      <c r="L15" s="951"/>
      <c r="M15" s="951"/>
      <c r="N15" s="952"/>
      <c r="O15" s="1419"/>
      <c r="P15" s="1525">
        <f>+D16</f>
        <v>0.49413164329920617</v>
      </c>
      <c r="Q15" s="1428" t="s">
        <v>440</v>
      </c>
      <c r="R15" s="354"/>
    </row>
    <row r="16" spans="1:18">
      <c r="A16" s="354">
        <f t="shared" si="0"/>
        <v>6</v>
      </c>
      <c r="C16" s="1429" t="s">
        <v>373</v>
      </c>
      <c r="D16" s="1430">
        <f>'SWEPCO TCOS'!G235</f>
        <v>0.49413164329920617</v>
      </c>
      <c r="E16" s="1431">
        <f>+'SWEPCO TCOS'!J235</f>
        <v>3.8138735926530609E-2</v>
      </c>
      <c r="F16" s="1432">
        <f>E16*D16</f>
        <v>1.8845556256731042E-2</v>
      </c>
      <c r="G16" s="1433"/>
      <c r="H16" s="1416"/>
      <c r="I16" s="1419"/>
      <c r="J16" s="1434"/>
      <c r="K16" s="626"/>
      <c r="L16" s="626"/>
      <c r="M16" s="626"/>
      <c r="N16" s="1435"/>
      <c r="O16" s="1436"/>
      <c r="P16" s="1525">
        <f>+D17</f>
        <v>0</v>
      </c>
      <c r="Q16" s="1428" t="s">
        <v>441</v>
      </c>
      <c r="R16" s="354"/>
    </row>
    <row r="17" spans="1:19">
      <c r="A17" s="354">
        <f t="shared" si="0"/>
        <v>7</v>
      </c>
      <c r="C17" s="1429" t="s">
        <v>374</v>
      </c>
      <c r="D17" s="1430">
        <f>'SWEPCO TCOS'!G236</f>
        <v>0</v>
      </c>
      <c r="E17" s="1431">
        <f>+'SWEPCO TCOS'!J236</f>
        <v>0</v>
      </c>
      <c r="F17" s="1432">
        <f>E17*D17</f>
        <v>0</v>
      </c>
      <c r="G17" s="1433"/>
      <c r="H17" s="1437"/>
      <c r="I17" s="1437"/>
      <c r="J17" s="1438"/>
      <c r="K17" s="251"/>
      <c r="L17" s="1419" t="s">
        <v>371</v>
      </c>
      <c r="M17" s="1419" t="s">
        <v>432</v>
      </c>
      <c r="N17" s="1439" t="s">
        <v>372</v>
      </c>
      <c r="O17" s="1440"/>
      <c r="P17" s="1525">
        <f>+E16</f>
        <v>3.8138735926530609E-2</v>
      </c>
      <c r="Q17" s="1428" t="s">
        <v>442</v>
      </c>
      <c r="R17" s="354"/>
    </row>
    <row r="18" spans="1:19">
      <c r="A18" s="354">
        <f t="shared" si="0"/>
        <v>8</v>
      </c>
      <c r="C18" s="1429" t="s">
        <v>366</v>
      </c>
      <c r="D18" s="1430">
        <f>'SWEPCO TCOS'!G237</f>
        <v>0.50586835670079389</v>
      </c>
      <c r="E18" s="1431">
        <f>+F13</f>
        <v>0.105</v>
      </c>
      <c r="F18" s="968">
        <f>E18*D18</f>
        <v>5.3116177453583359E-2</v>
      </c>
      <c r="G18" s="969"/>
      <c r="H18" s="1437"/>
      <c r="I18" s="1437"/>
      <c r="J18" s="1441"/>
      <c r="N18" s="1424"/>
      <c r="O18" s="1440"/>
      <c r="P18" s="1525">
        <f>+E17</f>
        <v>0</v>
      </c>
      <c r="Q18" s="1428" t="s">
        <v>443</v>
      </c>
      <c r="R18" s="354"/>
    </row>
    <row r="19" spans="1:19" ht="13" thickBot="1">
      <c r="A19" s="354">
        <f t="shared" si="0"/>
        <v>9</v>
      </c>
      <c r="C19" s="270"/>
      <c r="D19" s="1416"/>
      <c r="E19" s="1442" t="s">
        <v>375</v>
      </c>
      <c r="F19" s="1432">
        <f>SUM(F16:F18)</f>
        <v>7.1961733710314404E-2</v>
      </c>
      <c r="G19" s="1433"/>
      <c r="H19" s="1443"/>
      <c r="I19" s="1437"/>
      <c r="J19" s="1444" t="s">
        <v>428</v>
      </c>
      <c r="K19" s="1445">
        <f>+'SWEPCO TCOS'!$N$2</f>
        <v>2024</v>
      </c>
      <c r="L19" s="1446">
        <f>+P44</f>
        <v>0</v>
      </c>
      <c r="M19" s="1446">
        <f>+P45</f>
        <v>0</v>
      </c>
      <c r="N19" s="1447">
        <f>+P46</f>
        <v>0</v>
      </c>
      <c r="O19" s="1440"/>
      <c r="P19" s="1525">
        <f>+D18</f>
        <v>0.50586835670079389</v>
      </c>
      <c r="Q19" s="1448" t="s">
        <v>444</v>
      </c>
      <c r="R19" s="354"/>
    </row>
    <row r="20" spans="1:19" ht="13">
      <c r="A20" s="354"/>
      <c r="D20" s="1449"/>
      <c r="E20" s="1449"/>
      <c r="F20" s="1437"/>
      <c r="G20" s="1437"/>
      <c r="H20" s="1437"/>
      <c r="I20" s="1437"/>
      <c r="J20" s="979"/>
      <c r="K20" s="979"/>
      <c r="L20" s="979"/>
      <c r="M20" s="979"/>
      <c r="N20" s="979"/>
      <c r="O20" s="1437"/>
      <c r="P20" s="1450">
        <f>+E23</f>
        <v>1809260046.1566496</v>
      </c>
      <c r="Q20" s="1451" t="str">
        <f>+C23</f>
        <v xml:space="preserve">   Rate Base  (TCOS, ln 63)</v>
      </c>
      <c r="R20" s="561"/>
    </row>
    <row r="21" spans="1:19" ht="15.5">
      <c r="A21" s="354"/>
      <c r="C21" s="931" t="str">
        <f>"B.   Determine Return using 'R' with hypothetical "&amp;F12&amp;" basis point ROE increase for Identified Projects."</f>
        <v>B.   Determine Return using 'R' with hypothetical 0 basis point ROE increase for Identified Projects.</v>
      </c>
      <c r="D21" s="1449"/>
      <c r="E21" s="1449"/>
      <c r="F21" s="1437"/>
      <c r="G21" s="1437"/>
      <c r="H21" s="1437"/>
      <c r="I21" s="1416"/>
      <c r="J21" s="982"/>
      <c r="K21" s="979"/>
      <c r="L21" s="979"/>
      <c r="M21" s="979"/>
      <c r="N21" s="979"/>
      <c r="O21" s="1437"/>
      <c r="P21" s="1452">
        <f>+F30</f>
        <v>0.24317999999999995</v>
      </c>
      <c r="Q21" s="1424" t="str">
        <f>+C30</f>
        <v xml:space="preserve">   Tax Rate  (TCOS, ln 99)</v>
      </c>
      <c r="R21" s="354"/>
    </row>
    <row r="22" spans="1:19">
      <c r="A22" s="354"/>
      <c r="C22" s="1419"/>
      <c r="D22" s="1449"/>
      <c r="E22" s="1449"/>
      <c r="F22" s="1437"/>
      <c r="G22" s="1437"/>
      <c r="H22" s="1437"/>
      <c r="I22" s="1437"/>
      <c r="J22" s="979"/>
      <c r="K22" s="979"/>
      <c r="L22" s="979"/>
      <c r="M22" s="979"/>
      <c r="N22" s="979"/>
      <c r="O22" s="1437"/>
      <c r="P22" s="1453">
        <f>+F33</f>
        <v>35513.957477600357</v>
      </c>
      <c r="Q22" s="1424" t="str">
        <f>+C33</f>
        <v xml:space="preserve">   ITC Adjustment  (TCOS, ln 108)</v>
      </c>
      <c r="R22" s="354"/>
    </row>
    <row r="23" spans="1:19">
      <c r="A23" s="354">
        <f>+A19+1</f>
        <v>10</v>
      </c>
      <c r="C23" s="270" t="str">
        <f>"   Rate Base  (TCOS, ln "&amp;'SWEPCO TCOS'!B113&amp;")"</f>
        <v xml:space="preserve">   Rate Base  (TCOS, ln 63)</v>
      </c>
      <c r="D23" s="1416"/>
      <c r="E23" s="1454">
        <f>+'SWEPCO TCOS'!L113</f>
        <v>1809260046.1566496</v>
      </c>
      <c r="F23" s="1455"/>
      <c r="G23" s="1455"/>
      <c r="H23" s="1437"/>
      <c r="I23" s="1437"/>
      <c r="J23" s="979"/>
      <c r="K23" s="979"/>
      <c r="L23" s="979"/>
      <c r="M23" s="979"/>
      <c r="N23" s="979"/>
      <c r="O23" s="1437"/>
      <c r="P23" s="1453">
        <f>+F34</f>
        <v>-953110.19839128165</v>
      </c>
      <c r="Q23" s="1424" t="str">
        <f>+C34</f>
        <v xml:space="preserve">   Excess DFIT Adjustment  (TCOS, ln 109)</v>
      </c>
      <c r="R23" s="354"/>
    </row>
    <row r="24" spans="1:19">
      <c r="A24" s="354">
        <f t="shared" si="0"/>
        <v>11</v>
      </c>
      <c r="C24" s="1419" t="s">
        <v>344</v>
      </c>
      <c r="D24" s="1418"/>
      <c r="E24" s="1456">
        <f>F19</f>
        <v>7.1961733710314404E-2</v>
      </c>
      <c r="F24" s="1437"/>
      <c r="G24" s="1437"/>
      <c r="H24" s="1437"/>
      <c r="I24" s="1437"/>
      <c r="J24" s="979"/>
      <c r="K24" s="979"/>
      <c r="L24" s="979"/>
      <c r="M24" s="979"/>
      <c r="N24" s="979"/>
      <c r="O24" s="1437"/>
      <c r="P24" s="1453">
        <f>+F35</f>
        <v>274110.34539885307</v>
      </c>
      <c r="Q24" s="1424" t="str">
        <f>+C35</f>
        <v xml:space="preserve">   Tax Effect of Permanent and Flow Through Differences  (TCOS, ln 110)</v>
      </c>
      <c r="R24" s="354"/>
    </row>
    <row r="25" spans="1:19" ht="15.5">
      <c r="A25" s="354">
        <f t="shared" si="0"/>
        <v>12</v>
      </c>
      <c r="C25" s="1457" t="s">
        <v>376</v>
      </c>
      <c r="D25" s="1457"/>
      <c r="E25" s="1440">
        <f>E23*E24</f>
        <v>130197489.65423596</v>
      </c>
      <c r="F25" s="1437"/>
      <c r="G25" s="1437"/>
      <c r="H25" s="1437"/>
      <c r="I25" s="1437"/>
      <c r="J25" s="570"/>
      <c r="K25" s="570"/>
      <c r="L25" s="570"/>
      <c r="M25" s="570"/>
      <c r="N25" s="582"/>
      <c r="O25" s="1440"/>
      <c r="P25" s="1453">
        <f>+F42</f>
        <v>307794887.42342484</v>
      </c>
      <c r="Q25" s="1424" t="str">
        <f>+C42</f>
        <v xml:space="preserve">   Net Revenue Requirement  (TCOS, ln 117)</v>
      </c>
      <c r="R25" s="354"/>
    </row>
    <row r="26" spans="1:19" ht="20">
      <c r="A26" s="354"/>
      <c r="C26" s="1457"/>
      <c r="D26" s="1419"/>
      <c r="E26" s="1419"/>
      <c r="F26" s="1437"/>
      <c r="G26" s="1437"/>
      <c r="H26" s="1437"/>
      <c r="I26" s="1437"/>
      <c r="J26" s="989" t="s">
        <v>128</v>
      </c>
      <c r="K26" s="990" t="s">
        <v>438</v>
      </c>
      <c r="L26" s="991"/>
      <c r="M26" s="991"/>
      <c r="N26" s="992"/>
      <c r="O26" s="1440"/>
      <c r="P26" s="1453">
        <f>+F43</f>
        <v>130197489.65423596</v>
      </c>
      <c r="Q26" s="1424" t="str">
        <f>+C43</f>
        <v xml:space="preserve">   Return  (TCOS, ln 112)</v>
      </c>
      <c r="R26" s="354"/>
    </row>
    <row r="27" spans="1:19" ht="18">
      <c r="A27" s="354"/>
      <c r="C27" s="931" t="str">
        <f>"C.   Determine Income Taxes using Return with hypothetical "&amp;F12&amp;" basis point ROE increase for Identified Projects."</f>
        <v>C.   Determine Income Taxes using Return with hypothetical 0 basis point ROE increase for Identified Projects.</v>
      </c>
      <c r="D27" s="1458"/>
      <c r="E27" s="1458"/>
      <c r="F27" s="1459"/>
      <c r="G27" s="1459"/>
      <c r="H27" s="1459"/>
      <c r="I27" s="1459"/>
      <c r="J27" s="1440"/>
      <c r="K27" s="995" t="s">
        <v>427</v>
      </c>
      <c r="L27" s="996"/>
      <c r="M27" s="996"/>
      <c r="N27" s="992"/>
      <c r="O27" s="1460"/>
      <c r="P27" s="1453">
        <f>+F44</f>
        <v>30235502.17313458</v>
      </c>
      <c r="Q27" s="1424" t="str">
        <f>+C44</f>
        <v xml:space="preserve">   Income Taxes  (TCOS, ln 111)</v>
      </c>
      <c r="R27" s="354"/>
    </row>
    <row r="28" spans="1:19" ht="14.25" customHeight="1">
      <c r="A28" s="354"/>
      <c r="C28" s="270"/>
      <c r="D28" s="1419"/>
      <c r="E28" s="1419"/>
      <c r="F28" s="1437"/>
      <c r="G28" s="1437"/>
      <c r="H28" s="1437"/>
      <c r="I28" s="1437"/>
      <c r="O28" s="1440"/>
      <c r="P28" s="1453">
        <f>+F45</f>
        <v>137137.54269927507</v>
      </c>
      <c r="Q28" s="1424" t="str">
        <f>C45</f>
        <v xml:space="preserve">  Gross Margin Taxes  (TCOS, ln 116)</v>
      </c>
      <c r="R28" s="354"/>
      <c r="S28" s="561"/>
    </row>
    <row r="29" spans="1:19" ht="19.5" customHeight="1">
      <c r="A29" s="354">
        <f>+A25+1</f>
        <v>13</v>
      </c>
      <c r="C29" s="1419" t="s">
        <v>377</v>
      </c>
      <c r="D29" s="1442"/>
      <c r="F29" s="1455">
        <f>E25</f>
        <v>130197489.65423596</v>
      </c>
      <c r="G29" s="1437"/>
      <c r="H29" s="1437"/>
      <c r="I29" s="1437"/>
      <c r="O29" s="1437"/>
      <c r="P29" s="1453">
        <f>+F55</f>
        <v>59782181.27282913</v>
      </c>
      <c r="Q29" s="1424" t="str">
        <f>+C55</f>
        <v xml:space="preserve">   Less: Depreciation  (TCOS, ln 86)</v>
      </c>
      <c r="R29" s="354"/>
    </row>
    <row r="30" spans="1:19">
      <c r="A30" s="354">
        <f t="shared" si="0"/>
        <v>14</v>
      </c>
      <c r="C30" s="270" t="str">
        <f>"   Tax Rate  (TCOS, ln "&amp;'SWEPCO TCOS'!B168&amp;")"</f>
        <v xml:space="preserve">   Tax Rate  (TCOS, ln 99)</v>
      </c>
      <c r="D30" s="1442"/>
      <c r="F30" s="648">
        <f>+'SWEPCO TCOS'!G168</f>
        <v>0.24317999999999995</v>
      </c>
      <c r="G30" s="1437"/>
      <c r="H30" s="1437"/>
      <c r="I30" s="1437"/>
      <c r="O30" s="1437"/>
      <c r="P30" s="1452">
        <f>+F61</f>
        <v>0.43687623629877959</v>
      </c>
      <c r="Q30" s="1424" t="str">
        <f>+C61</f>
        <v xml:space="preserve">       Apportionment Factor to Texas (Worksheet K, ln 12)</v>
      </c>
      <c r="R30" s="354"/>
    </row>
    <row r="31" spans="1:19">
      <c r="A31" s="354">
        <f t="shared" si="0"/>
        <v>15</v>
      </c>
      <c r="C31" s="1419" t="s">
        <v>199</v>
      </c>
      <c r="F31" s="1425">
        <f>IF(F16&gt;0,($F30/(1-$F30))*(1-$F16/$F19),0)</f>
        <v>0.23717037978730923</v>
      </c>
      <c r="P31" s="1453">
        <f>+F71</f>
        <v>1991648564.8399999</v>
      </c>
      <c r="Q31" s="1424" t="str">
        <f>+C71</f>
        <v xml:space="preserve">   Net Transmission Plant  (TCOS, ln 37)</v>
      </c>
      <c r="R31" s="354"/>
    </row>
    <row r="32" spans="1:19">
      <c r="A32" s="354">
        <f t="shared" si="0"/>
        <v>16</v>
      </c>
      <c r="C32" s="1457" t="s">
        <v>200</v>
      </c>
      <c r="F32" s="1461">
        <f>F29*F31</f>
        <v>30878988.068649407</v>
      </c>
      <c r="P32" s="1801">
        <f>+F76</f>
        <v>0.12455202222466152</v>
      </c>
      <c r="Q32" s="1463" t="str">
        <f>+C77</f>
        <v xml:space="preserve">   FCR less Depreciation  (TCOS, ln 10)</v>
      </c>
      <c r="R32" s="354"/>
    </row>
    <row r="33" spans="1:19" ht="15.5">
      <c r="A33" s="354">
        <f t="shared" si="0"/>
        <v>17</v>
      </c>
      <c r="C33" s="270" t="str">
        <f>"   ITC Adjustment  (TCOS, ln "&amp;'SWEPCO TCOS'!B178&amp;")"</f>
        <v xml:space="preserve">   ITC Adjustment  (TCOS, ln 108)</v>
      </c>
      <c r="D33" s="570"/>
      <c r="F33" s="1437">
        <f>+'SWEPCO TCOS'!L178</f>
        <v>35513.957477600357</v>
      </c>
      <c r="G33" s="570"/>
      <c r="H33" s="570"/>
      <c r="I33" s="570"/>
      <c r="O33" s="570"/>
      <c r="P33" s="1462">
        <f>+F81</f>
        <v>2739528174.0769229</v>
      </c>
      <c r="Q33" s="1463" t="str">
        <f>+C81</f>
        <v>Transmission Plant Average Balance for 2024 (WS A-1 Ln 14 Col (d))</v>
      </c>
      <c r="R33" s="354"/>
      <c r="S33" s="561"/>
    </row>
    <row r="34" spans="1:19" ht="15.5">
      <c r="A34" s="354">
        <f t="shared" si="0"/>
        <v>18</v>
      </c>
      <c r="C34" s="270" t="str">
        <f>"   Excess DFIT Adjustment  (TCOS, ln "&amp;'SWEPCO TCOS'!B179&amp;")"</f>
        <v xml:space="preserve">   Excess DFIT Adjustment  (TCOS, ln 109)</v>
      </c>
      <c r="D34" s="570"/>
      <c r="F34" s="1437">
        <f>+'SWEPCO TCOS'!L179</f>
        <v>-953110.19839128165</v>
      </c>
      <c r="G34" s="570"/>
      <c r="H34" s="570"/>
      <c r="I34" s="570"/>
      <c r="O34" s="570"/>
      <c r="P34" s="1411">
        <f>+F82</f>
        <v>62416638</v>
      </c>
      <c r="Q34" s="1464" t="str">
        <f>+C82</f>
        <v>Annual Depreciation Expense  (TCOS, ln 86)</v>
      </c>
      <c r="R34" s="354"/>
      <c r="S34" s="561"/>
    </row>
    <row r="35" spans="1:19" ht="15.5">
      <c r="A35" s="354">
        <f t="shared" si="0"/>
        <v>19</v>
      </c>
      <c r="C35" s="270" t="str">
        <f>"   Tax Effect of Permanent and Flow Through Differences  (TCOS, ln "&amp;'SWEPCO TCOS'!B180&amp;")"</f>
        <v xml:space="preserve">   Tax Effect of Permanent and Flow Through Differences  (TCOS, ln 110)</v>
      </c>
      <c r="D35" s="570"/>
      <c r="F35" s="1437">
        <f>+'SWEPCO TCOS'!L180</f>
        <v>274110.34539885307</v>
      </c>
      <c r="G35" s="570"/>
      <c r="H35" s="570"/>
      <c r="I35" s="570"/>
      <c r="O35" s="570"/>
      <c r="R35" s="354"/>
      <c r="S35" s="561"/>
    </row>
    <row r="36" spans="1:19" ht="15.5">
      <c r="A36" s="354">
        <f t="shared" si="0"/>
        <v>20</v>
      </c>
      <c r="C36" s="1457" t="s">
        <v>378</v>
      </c>
      <c r="D36" s="570"/>
      <c r="F36" s="1465">
        <f>+SUM(F32:F35)</f>
        <v>30235502.17313458</v>
      </c>
      <c r="G36" s="570"/>
      <c r="H36" s="570"/>
      <c r="I36" s="570"/>
      <c r="O36" s="570"/>
    </row>
    <row r="37" spans="1:19" ht="12.75" customHeight="1">
      <c r="A37" s="354"/>
      <c r="C37" s="495"/>
      <c r="D37" s="570"/>
      <c r="E37" s="570"/>
      <c r="F37" s="570"/>
      <c r="G37" s="570"/>
      <c r="H37" s="570"/>
      <c r="I37" s="570"/>
      <c r="O37" s="570"/>
      <c r="P37" s="561" t="s">
        <v>167</v>
      </c>
      <c r="Q37" s="928" t="s">
        <v>436</v>
      </c>
    </row>
    <row r="38" spans="1:19" ht="18">
      <c r="A38" s="354"/>
      <c r="B38" s="929" t="s">
        <v>311</v>
      </c>
      <c r="C38" s="35" t="str">
        <f>"Calculate Net Plant Carrying Charge Rate (Fixed Charge Rate or FCR) with hypothetical "&amp;F12&amp;" basis point"</f>
        <v>Calculate Net Plant Carrying Charge Rate (Fixed Charge Rate or FCR) with hypothetical 0 basis point</v>
      </c>
      <c r="D38" s="570"/>
      <c r="E38" s="570"/>
      <c r="F38" s="570"/>
      <c r="G38" s="570"/>
      <c r="H38" s="570"/>
      <c r="I38" s="570"/>
      <c r="O38" s="570"/>
    </row>
    <row r="39" spans="1:19" ht="18.75" customHeight="1">
      <c r="A39" s="354"/>
      <c r="B39" s="929"/>
      <c r="C39" s="35" t="str">
        <f>"ROE increase."</f>
        <v>ROE increase.</v>
      </c>
      <c r="D39" s="570"/>
      <c r="E39" s="570"/>
      <c r="F39" s="570"/>
      <c r="G39" s="570"/>
      <c r="H39" s="570"/>
      <c r="I39" s="570"/>
      <c r="O39" s="570"/>
    </row>
    <row r="40" spans="1:19" ht="12.75" customHeight="1">
      <c r="A40" s="354"/>
      <c r="C40" s="495"/>
      <c r="D40" s="570"/>
      <c r="E40" s="570"/>
      <c r="F40" s="570"/>
      <c r="G40" s="570"/>
      <c r="H40" s="570"/>
      <c r="I40" s="570"/>
      <c r="O40" s="570"/>
      <c r="P40" s="928" t="s">
        <v>168</v>
      </c>
      <c r="Q40" s="928" t="s">
        <v>436</v>
      </c>
    </row>
    <row r="41" spans="1:19" ht="15.5">
      <c r="A41" s="354"/>
      <c r="C41" s="931" t="s">
        <v>149</v>
      </c>
      <c r="D41" s="570"/>
      <c r="E41" s="570"/>
      <c r="F41" s="495"/>
      <c r="G41" s="495"/>
      <c r="H41" s="570"/>
      <c r="I41" s="570"/>
      <c r="O41" s="570"/>
      <c r="P41" s="928"/>
      <c r="Q41" s="561"/>
    </row>
    <row r="42" spans="1:19" ht="12.75" customHeight="1">
      <c r="A42" s="354">
        <f>+A36+1</f>
        <v>21</v>
      </c>
      <c r="C42" s="270" t="str">
        <f>"   Net Revenue Requirement  (TCOS, ln "&amp;'SWEPCO TCOS'!B193&amp;")"</f>
        <v xml:space="preserve">   Net Revenue Requirement  (TCOS, ln 117)</v>
      </c>
      <c r="D42" s="1416"/>
      <c r="E42" s="1416"/>
      <c r="F42" s="1437">
        <f>+'SWEPCO TCOS'!L193</f>
        <v>307794887.42342484</v>
      </c>
      <c r="G42" s="1437"/>
      <c r="H42" s="1416"/>
      <c r="I42" s="1416"/>
      <c r="J42" s="1416"/>
      <c r="K42" s="1416"/>
      <c r="L42" s="1416"/>
      <c r="M42" s="1416"/>
      <c r="N42" s="1437"/>
      <c r="O42" s="1416"/>
      <c r="P42" s="1466" t="s">
        <v>164</v>
      </c>
      <c r="Q42" s="1467" t="s">
        <v>165</v>
      </c>
    </row>
    <row r="43" spans="1:19" ht="13.5" thickBot="1">
      <c r="A43" s="354">
        <f t="shared" si="0"/>
        <v>22</v>
      </c>
      <c r="C43" s="270" t="str">
        <f>"   Return  (TCOS, ln "&amp;'SWEPCO TCOS'!B184&amp;")"</f>
        <v xml:space="preserve">   Return  (TCOS, ln 112)</v>
      </c>
      <c r="D43" s="1416"/>
      <c r="E43" s="1416"/>
      <c r="F43" s="1440">
        <f>+'SWEPCO TCOS'!L184</f>
        <v>130197489.65423596</v>
      </c>
      <c r="G43" s="1440"/>
      <c r="H43" s="270"/>
      <c r="I43" s="270"/>
      <c r="J43" s="270"/>
      <c r="K43" s="270"/>
      <c r="L43" s="270"/>
      <c r="M43" s="270"/>
      <c r="N43" s="1437"/>
      <c r="O43" s="270"/>
      <c r="P43" s="1468" t="s">
        <v>69</v>
      </c>
      <c r="Q43" s="1469"/>
    </row>
    <row r="44" spans="1:19">
      <c r="A44" s="354">
        <f t="shared" si="0"/>
        <v>23</v>
      </c>
      <c r="C44" s="270" t="str">
        <f>"   Income Taxes  (TCOS, ln "&amp;'SWEPCO TCOS'!B182&amp;")"</f>
        <v xml:space="preserve">   Income Taxes  (TCOS, ln 111)</v>
      </c>
      <c r="D44" s="1416"/>
      <c r="E44" s="1416"/>
      <c r="F44" s="1437">
        <f>+'SWEPCO TCOS'!L182</f>
        <v>30235502.17313458</v>
      </c>
      <c r="G44" s="1437"/>
      <c r="H44" s="1416"/>
      <c r="I44" s="1416"/>
      <c r="J44" s="1470"/>
      <c r="K44" s="1470"/>
      <c r="L44" s="1470"/>
      <c r="M44" s="1470"/>
      <c r="N44" s="1416"/>
      <c r="O44" s="1470"/>
      <c r="P44" s="1008"/>
      <c r="Q44" s="1469" t="s">
        <v>161</v>
      </c>
    </row>
    <row r="45" spans="1:19">
      <c r="A45" s="354">
        <f t="shared" si="0"/>
        <v>24</v>
      </c>
      <c r="C45" s="270" t="str">
        <f>"  Gross Margin Taxes  (TCOS, ln "&amp;'SWEPCO TCOS'!B191&amp;")"</f>
        <v xml:space="preserve">  Gross Margin Taxes  (TCOS, ln 116)</v>
      </c>
      <c r="D45" s="1416"/>
      <c r="E45" s="1416"/>
      <c r="F45" s="1471">
        <f>+'SWEPCO TCOS'!L191</f>
        <v>137137.54269927507</v>
      </c>
      <c r="G45" s="1437"/>
      <c r="H45" s="1416"/>
      <c r="I45" s="1416"/>
      <c r="J45" s="1470"/>
      <c r="K45" s="1470"/>
      <c r="L45" s="1470"/>
      <c r="M45" s="1470"/>
      <c r="N45" s="1416"/>
      <c r="O45" s="1470"/>
      <c r="P45" s="1010"/>
      <c r="Q45" s="1469" t="s">
        <v>162</v>
      </c>
    </row>
    <row r="46" spans="1:19" ht="13" thickBot="1">
      <c r="A46" s="354">
        <f t="shared" si="0"/>
        <v>25</v>
      </c>
      <c r="C46" s="286" t="s">
        <v>23</v>
      </c>
      <c r="D46" s="1416"/>
      <c r="E46" s="1416"/>
      <c r="F46" s="1440">
        <f>F42-F43-F44-F45</f>
        <v>147224758.05335504</v>
      </c>
      <c r="G46" s="1440"/>
      <c r="H46" s="251"/>
      <c r="I46" s="1416"/>
      <c r="J46" s="251"/>
      <c r="K46" s="251"/>
      <c r="L46" s="251"/>
      <c r="M46" s="251"/>
      <c r="N46" s="251"/>
      <c r="O46" s="251"/>
      <c r="P46" s="1011"/>
      <c r="Q46" s="1469" t="s">
        <v>163</v>
      </c>
    </row>
    <row r="47" spans="1:19">
      <c r="A47" s="354"/>
      <c r="C47" s="270"/>
      <c r="D47" s="1416"/>
      <c r="E47" s="1416"/>
      <c r="F47" s="1437"/>
      <c r="G47" s="1437"/>
      <c r="H47" s="1417"/>
      <c r="I47" s="1433"/>
      <c r="J47" s="1433"/>
      <c r="K47" s="1433"/>
      <c r="L47" s="1433"/>
      <c r="M47" s="1433"/>
      <c r="N47" s="1433"/>
      <c r="O47" s="1433"/>
    </row>
    <row r="48" spans="1:19" ht="15.5">
      <c r="A48" s="354"/>
      <c r="C48" s="931" t="str">
        <f>"B.   Determine Net Revenue Requirement with hypothetical "&amp;F12&amp;" basis point increase in ROE."</f>
        <v>B.   Determine Net Revenue Requirement with hypothetical 0 basis point increase in ROE.</v>
      </c>
      <c r="D48" s="1419"/>
      <c r="E48" s="1419"/>
      <c r="F48" s="1437"/>
      <c r="G48" s="1437"/>
      <c r="H48" s="1417"/>
      <c r="I48" s="1433"/>
      <c r="J48" s="1433"/>
      <c r="K48" s="1433"/>
      <c r="L48" s="1433"/>
      <c r="M48" s="1433"/>
      <c r="N48" s="1433"/>
      <c r="O48" s="1433"/>
    </row>
    <row r="49" spans="1:19" ht="13">
      <c r="A49" s="354">
        <f>+A46+1</f>
        <v>26</v>
      </c>
      <c r="C49" s="270" t="str">
        <f>C46</f>
        <v xml:space="preserve">   Net Revenue Requirement, Less Return and Taxes</v>
      </c>
      <c r="D49" s="1419"/>
      <c r="E49" s="1419"/>
      <c r="F49" s="1437">
        <f>F46</f>
        <v>147224758.05335504</v>
      </c>
      <c r="G49" s="1437"/>
      <c r="H49" s="1416"/>
      <c r="I49" s="1416"/>
      <c r="J49" s="1416"/>
      <c r="K49" s="1416"/>
      <c r="L49" s="1416"/>
      <c r="M49" s="1416"/>
      <c r="N49" s="1012"/>
      <c r="O49" s="1416"/>
    </row>
    <row r="50" spans="1:19" ht="13">
      <c r="A50" s="354">
        <f t="shared" si="0"/>
        <v>27</v>
      </c>
      <c r="C50" s="1419" t="s">
        <v>386</v>
      </c>
      <c r="F50" s="1461">
        <f>E25</f>
        <v>130197489.65423596</v>
      </c>
      <c r="G50" s="1461"/>
      <c r="I50" s="1354"/>
    </row>
    <row r="51" spans="1:19" ht="12.75" customHeight="1">
      <c r="A51" s="354">
        <f t="shared" si="0"/>
        <v>28</v>
      </c>
      <c r="C51" s="270" t="s">
        <v>379</v>
      </c>
      <c r="D51" s="1416"/>
      <c r="E51" s="1416"/>
      <c r="F51" s="1013">
        <f>F36</f>
        <v>30235502.17313458</v>
      </c>
      <c r="G51" s="1014"/>
    </row>
    <row r="52" spans="1:19">
      <c r="A52" s="354">
        <f t="shared" si="0"/>
        <v>29</v>
      </c>
      <c r="C52" s="286" t="str">
        <f>"   Net Revenue Requirement, with "&amp;F12&amp;" Basis Point ROE increase"</f>
        <v xml:space="preserve">   Net Revenue Requirement, with 0 Basis Point ROE increase</v>
      </c>
      <c r="F52" s="1461">
        <f>SUM(F49:F51)</f>
        <v>307657749.88072556</v>
      </c>
      <c r="G52" s="1461"/>
    </row>
    <row r="53" spans="1:19">
      <c r="A53" s="354">
        <f t="shared" si="0"/>
        <v>30</v>
      </c>
      <c r="C53" s="286" t="str">
        <f>"   Gross Margin Tax with "&amp;F86&amp;" Basis Point ROE Increase (II C. below)"</f>
        <v xml:space="preserve">   Gross Margin Tax with  Basis Point ROE Increase (II C. below)</v>
      </c>
      <c r="D53" s="286"/>
      <c r="F53" s="1472">
        <f>+F68</f>
        <v>188287.70377045983</v>
      </c>
      <c r="G53" s="1461"/>
    </row>
    <row r="54" spans="1:19">
      <c r="A54" s="354">
        <f t="shared" si="0"/>
        <v>31</v>
      </c>
      <c r="C54" s="286" t="s">
        <v>24</v>
      </c>
      <c r="F54" s="1461">
        <f>+F52+F53</f>
        <v>307846037.58449602</v>
      </c>
      <c r="G54" s="1461"/>
    </row>
    <row r="55" spans="1:19">
      <c r="A55" s="354">
        <f t="shared" si="0"/>
        <v>32</v>
      </c>
      <c r="C55" s="270" t="str">
        <f>"   Less: Depreciation  (TCOS, ln "&amp;'SWEPCO TCOS'!B153&amp;")"</f>
        <v xml:space="preserve">   Less: Depreciation  (TCOS, ln 86)</v>
      </c>
      <c r="F55" s="1016">
        <f>+'SWEPCO TCOS'!L153</f>
        <v>59782181.27282913</v>
      </c>
      <c r="G55" s="1016"/>
    </row>
    <row r="56" spans="1:19">
      <c r="A56" s="354">
        <f t="shared" si="0"/>
        <v>33</v>
      </c>
      <c r="C56" s="286" t="str">
        <f>"   Net Rev. Req, w/"&amp;F12&amp;" Basis Point ROE increase, less Depreciation"</f>
        <v xml:space="preserve">   Net Rev. Req, w/0 Basis Point ROE increase, less Depreciation</v>
      </c>
      <c r="F56" s="1461">
        <f>F54-F55</f>
        <v>248063856.31166691</v>
      </c>
      <c r="G56" s="1461"/>
    </row>
    <row r="57" spans="1:19">
      <c r="A57" s="354"/>
    </row>
    <row r="58" spans="1:19" ht="15.5">
      <c r="A58" s="354"/>
      <c r="C58" s="931" t="str">
        <f>"C.   Determine Gross Margin Tax with hypothetical "&amp;F12&amp;" basis point increase in ROE."</f>
        <v>C.   Determine Gross Margin Tax with hypothetical 0 basis point increase in ROE.</v>
      </c>
      <c r="D58" s="286"/>
      <c r="F58" s="1461"/>
      <c r="G58" s="1461"/>
    </row>
    <row r="59" spans="1:19">
      <c r="A59" s="354">
        <f>+A56+1</f>
        <v>34</v>
      </c>
      <c r="C59" s="286" t="str">
        <f>"   Net Revenue Requirement before Gross Margin Taxes, with "&amp;F12&amp;" "</f>
        <v xml:space="preserve">   Net Revenue Requirement before Gross Margin Taxes, with 0 </v>
      </c>
      <c r="D59" s="286"/>
      <c r="F59" s="1461">
        <f>+F52</f>
        <v>307657749.88072556</v>
      </c>
      <c r="G59" s="1461"/>
    </row>
    <row r="60" spans="1:19">
      <c r="A60" s="354">
        <f t="shared" si="0"/>
        <v>35</v>
      </c>
      <c r="C60" s="286" t="s">
        <v>25</v>
      </c>
      <c r="D60" s="286"/>
      <c r="F60" s="1461"/>
      <c r="G60" s="1461"/>
    </row>
    <row r="61" spans="1:19">
      <c r="A61" s="354">
        <f t="shared" si="0"/>
        <v>36</v>
      </c>
      <c r="C61" s="286" t="str">
        <f>"       Apportionment Factor to Texas (Worksheet K, ln "&amp;'SWEPCO WS K State Taxes'!A53&amp;")"</f>
        <v xml:space="preserve">       Apportionment Factor to Texas (Worksheet K, ln 12)</v>
      </c>
      <c r="F61" s="1473">
        <f>+'SWEPCO WS K State Taxes'!E53</f>
        <v>0.43687623629877959</v>
      </c>
      <c r="G61" s="648"/>
    </row>
    <row r="62" spans="1:19" s="1337" customFormat="1">
      <c r="A62" s="354">
        <f t="shared" si="0"/>
        <v>37</v>
      </c>
      <c r="B62" s="286"/>
      <c r="C62" s="286" t="s">
        <v>26</v>
      </c>
      <c r="D62" s="354"/>
      <c r="E62" s="286"/>
      <c r="F62" s="1461">
        <f>+F61*F59</f>
        <v>134408359.8360427</v>
      </c>
      <c r="G62" s="1461"/>
      <c r="H62" s="286"/>
      <c r="J62" s="286"/>
      <c r="K62" s="286"/>
      <c r="L62" s="286"/>
      <c r="M62" s="286"/>
      <c r="N62" s="286"/>
      <c r="O62" s="286"/>
      <c r="P62" s="286"/>
      <c r="Q62" s="286"/>
      <c r="R62" s="286"/>
      <c r="S62" s="286"/>
    </row>
    <row r="63" spans="1:19" s="1337" customFormat="1">
      <c r="A63" s="354">
        <f t="shared" si="0"/>
        <v>38</v>
      </c>
      <c r="B63" s="286"/>
      <c r="C63" s="286" t="s">
        <v>690</v>
      </c>
      <c r="D63" s="354"/>
      <c r="E63" s="286"/>
      <c r="F63" s="1474">
        <v>0.14000000000000001</v>
      </c>
      <c r="G63" s="1475"/>
      <c r="H63" s="286"/>
      <c r="J63" s="286"/>
      <c r="K63" s="286"/>
      <c r="L63" s="286"/>
      <c r="M63" s="286"/>
      <c r="N63" s="286"/>
      <c r="O63" s="286"/>
      <c r="P63" s="286"/>
      <c r="Q63" s="286"/>
      <c r="R63" s="286"/>
      <c r="S63" s="286"/>
    </row>
    <row r="64" spans="1:19" s="1337" customFormat="1">
      <c r="A64" s="354">
        <f t="shared" si="0"/>
        <v>39</v>
      </c>
      <c r="B64" s="286"/>
      <c r="C64" s="286" t="s">
        <v>27</v>
      </c>
      <c r="D64" s="354"/>
      <c r="E64" s="286"/>
      <c r="F64" s="1461">
        <f>+F62*F63</f>
        <v>18817170.377045982</v>
      </c>
      <c r="G64" s="1461"/>
      <c r="H64" s="286"/>
      <c r="J64" s="286"/>
      <c r="K64" s="286"/>
      <c r="L64" s="286"/>
      <c r="M64" s="286"/>
      <c r="N64" s="286"/>
      <c r="O64" s="286"/>
      <c r="P64" s="286"/>
      <c r="Q64" s="286"/>
      <c r="R64" s="286"/>
      <c r="S64" s="286"/>
    </row>
    <row r="65" spans="1:19" s="1337" customFormat="1">
      <c r="A65" s="354">
        <f t="shared" si="0"/>
        <v>40</v>
      </c>
      <c r="B65" s="286"/>
      <c r="C65" s="286" t="s">
        <v>28</v>
      </c>
      <c r="D65" s="354"/>
      <c r="E65" s="286"/>
      <c r="F65" s="1474">
        <v>0.01</v>
      </c>
      <c r="G65" s="1475"/>
      <c r="H65" s="286"/>
      <c r="J65" s="286"/>
      <c r="K65" s="286"/>
      <c r="L65" s="286"/>
      <c r="M65" s="286"/>
      <c r="N65" s="286"/>
      <c r="O65" s="286"/>
      <c r="P65" s="286"/>
      <c r="Q65" s="286"/>
      <c r="R65" s="286"/>
      <c r="S65" s="286"/>
    </row>
    <row r="66" spans="1:19" s="1337" customFormat="1">
      <c r="A66" s="354">
        <f t="shared" si="0"/>
        <v>41</v>
      </c>
      <c r="B66" s="286"/>
      <c r="C66" s="286" t="s">
        <v>29</v>
      </c>
      <c r="D66" s="354"/>
      <c r="E66" s="286"/>
      <c r="F66" s="1461">
        <f>+F64*F65</f>
        <v>188171.70377045983</v>
      </c>
      <c r="G66" s="1461"/>
      <c r="H66" s="286"/>
      <c r="J66" s="286"/>
      <c r="K66" s="286"/>
      <c r="L66" s="286"/>
      <c r="M66" s="286"/>
      <c r="N66" s="286"/>
      <c r="O66" s="286"/>
      <c r="P66" s="286"/>
      <c r="Q66" s="286"/>
      <c r="R66" s="286"/>
      <c r="S66" s="286"/>
    </row>
    <row r="67" spans="1:19" s="1337" customFormat="1">
      <c r="A67" s="354">
        <f t="shared" si="0"/>
        <v>42</v>
      </c>
      <c r="B67" s="286"/>
      <c r="C67" s="286" t="s">
        <v>30</v>
      </c>
      <c r="D67" s="354"/>
      <c r="E67" s="286"/>
      <c r="F67" s="1476">
        <f>+ROUND((F66*F63*F61)/(1-F65)*F65,0)</f>
        <v>116</v>
      </c>
      <c r="G67" s="1392"/>
      <c r="H67" s="286"/>
      <c r="J67" s="286"/>
      <c r="K67" s="286"/>
      <c r="L67" s="286"/>
      <c r="M67" s="286"/>
      <c r="N67" s="286"/>
      <c r="O67" s="286"/>
      <c r="P67" s="286"/>
      <c r="Q67" s="286"/>
      <c r="R67" s="286"/>
      <c r="S67" s="286"/>
    </row>
    <row r="68" spans="1:19" s="1337" customFormat="1">
      <c r="A68" s="354">
        <f t="shared" si="0"/>
        <v>43</v>
      </c>
      <c r="B68" s="286"/>
      <c r="C68" s="286" t="s">
        <v>31</v>
      </c>
      <c r="D68" s="354"/>
      <c r="E68" s="286"/>
      <c r="F68" s="1461">
        <f>+F66+F67</f>
        <v>188287.70377045983</v>
      </c>
      <c r="G68" s="1461"/>
      <c r="H68" s="286"/>
      <c r="J68" s="286"/>
      <c r="K68" s="286"/>
      <c r="L68" s="286"/>
      <c r="M68" s="286"/>
      <c r="N68" s="286"/>
      <c r="O68" s="286"/>
      <c r="P68" s="286"/>
      <c r="Q68" s="286"/>
      <c r="R68" s="286"/>
      <c r="S68" s="286"/>
    </row>
    <row r="69" spans="1:19" s="1337" customFormat="1">
      <c r="A69" s="354"/>
      <c r="B69" s="286"/>
      <c r="C69" s="286"/>
      <c r="D69" s="354"/>
      <c r="E69" s="286"/>
      <c r="F69" s="286"/>
      <c r="G69" s="286"/>
      <c r="H69" s="286"/>
      <c r="J69" s="286"/>
      <c r="K69" s="286"/>
      <c r="L69" s="286"/>
      <c r="M69" s="286"/>
      <c r="N69" s="286"/>
      <c r="O69" s="286"/>
      <c r="P69" s="286"/>
      <c r="Q69" s="286"/>
      <c r="R69" s="286"/>
      <c r="S69" s="286"/>
    </row>
    <row r="70" spans="1:19" s="1337" customFormat="1" ht="15.5">
      <c r="A70" s="354"/>
      <c r="B70" s="286"/>
      <c r="C70" s="931" t="str">
        <f>"D.   Determine FCR with hypothetical "&amp;F12&amp;" basis point ROE increase."</f>
        <v>D.   Determine FCR with hypothetical 0 basis point ROE increase.</v>
      </c>
      <c r="D70" s="354"/>
      <c r="E70" s="286"/>
      <c r="F70" s="286"/>
      <c r="G70" s="286"/>
      <c r="H70" s="286"/>
      <c r="J70" s="286"/>
      <c r="K70" s="286"/>
      <c r="L70" s="286"/>
      <c r="M70" s="286"/>
      <c r="N70" s="286"/>
      <c r="O70" s="286"/>
      <c r="P70" s="286"/>
      <c r="Q70" s="286"/>
      <c r="R70" s="286"/>
      <c r="S70" s="286"/>
    </row>
    <row r="71" spans="1:19" s="1337" customFormat="1">
      <c r="A71" s="354">
        <f>+A68+1</f>
        <v>44</v>
      </c>
      <c r="B71" s="286"/>
      <c r="C71" s="270" t="str">
        <f>"   Net Transmission Plant  (TCOS, ln "&amp;'SWEPCO TCOS'!B79&amp;")"</f>
        <v xml:space="preserve">   Net Transmission Plant  (TCOS, ln 37)</v>
      </c>
      <c r="D71" s="354"/>
      <c r="E71" s="286"/>
      <c r="F71" s="1461">
        <f>+'SWEPCO TCOS'!L79</f>
        <v>1991648564.8399999</v>
      </c>
      <c r="G71" s="1461"/>
      <c r="H71" s="286"/>
      <c r="J71" s="286"/>
      <c r="K71" s="286"/>
      <c r="L71" s="286"/>
      <c r="M71" s="286"/>
      <c r="N71" s="286"/>
      <c r="O71" s="286"/>
      <c r="P71" s="286"/>
      <c r="Q71" s="286"/>
      <c r="R71" s="286"/>
      <c r="S71" s="286"/>
    </row>
    <row r="72" spans="1:19" s="1337" customFormat="1" ht="14">
      <c r="A72" s="354">
        <f t="shared" si="0"/>
        <v>45</v>
      </c>
      <c r="B72" s="286"/>
      <c r="C72" s="286" t="str">
        <f>"   Net Revenue Requirement, with "&amp;F12&amp;" Basis Point ROE increase"</f>
        <v xml:space="preserve">   Net Revenue Requirement, with 0 Basis Point ROE increase</v>
      </c>
      <c r="D72" s="354"/>
      <c r="E72" s="286"/>
      <c r="F72" s="1021">
        <f>+F54</f>
        <v>307846037.58449602</v>
      </c>
      <c r="G72" s="1021"/>
      <c r="H72" s="286"/>
      <c r="J72" s="286"/>
      <c r="K72" s="286"/>
      <c r="L72" s="286"/>
      <c r="M72" s="286"/>
      <c r="N72" s="286"/>
      <c r="O72" s="286"/>
      <c r="P72" s="286"/>
      <c r="Q72" s="286"/>
      <c r="R72" s="286"/>
      <c r="S72" s="286"/>
    </row>
    <row r="73" spans="1:19" s="1337" customFormat="1">
      <c r="A73" s="354">
        <f t="shared" si="0"/>
        <v>46</v>
      </c>
      <c r="B73" s="286"/>
      <c r="C73" s="286" t="str">
        <f>"   FCR with "&amp;F12&amp;" Basis Point increase in ROE"</f>
        <v xml:space="preserve">   FCR with 0 Basis Point increase in ROE</v>
      </c>
      <c r="D73" s="354"/>
      <c r="E73" s="286"/>
      <c r="F73" s="648">
        <f>IF(F71=0,0,F72/F71)</f>
        <v>0.1545684529987483</v>
      </c>
      <c r="G73" s="648"/>
      <c r="H73" s="286"/>
      <c r="J73" s="286"/>
      <c r="K73" s="286"/>
      <c r="L73" s="286"/>
      <c r="M73" s="286"/>
      <c r="N73" s="286"/>
      <c r="O73" s="286"/>
      <c r="P73" s="286"/>
      <c r="Q73" s="286"/>
      <c r="R73" s="286"/>
      <c r="S73" s="286"/>
    </row>
    <row r="74" spans="1:19" s="1337" customFormat="1">
      <c r="A74" s="354"/>
      <c r="B74" s="286"/>
      <c r="C74" s="286"/>
      <c r="D74" s="354"/>
      <c r="E74" s="286"/>
      <c r="F74" s="286"/>
      <c r="G74" s="286"/>
      <c r="H74" s="648"/>
      <c r="J74" s="286"/>
      <c r="K74" s="286"/>
      <c r="L74" s="286"/>
      <c r="M74" s="286"/>
      <c r="N74" s="286"/>
      <c r="O74" s="286"/>
      <c r="P74" s="286"/>
      <c r="Q74" s="286"/>
      <c r="R74" s="286"/>
      <c r="S74" s="286"/>
    </row>
    <row r="75" spans="1:19" s="1337" customFormat="1">
      <c r="A75" s="354">
        <f>+A73+1</f>
        <v>47</v>
      </c>
      <c r="B75" s="286"/>
      <c r="C75" s="286" t="str">
        <f>"   Net Rev. Req, w / "&amp;F12&amp;" Basis Point ROE increase, less Dep."</f>
        <v xml:space="preserve">   Net Rev. Req, w / 0 Basis Point ROE increase, less Dep.</v>
      </c>
      <c r="D75" s="354"/>
      <c r="E75" s="286"/>
      <c r="F75" s="1461">
        <f>+F56</f>
        <v>248063856.31166691</v>
      </c>
      <c r="G75" s="1461"/>
      <c r="H75" s="286"/>
      <c r="J75" s="286"/>
      <c r="K75" s="286"/>
      <c r="L75" s="286"/>
      <c r="M75" s="286"/>
      <c r="N75" s="286"/>
      <c r="O75" s="286"/>
      <c r="P75" s="286"/>
      <c r="Q75" s="286"/>
      <c r="R75" s="286"/>
      <c r="S75" s="286"/>
    </row>
    <row r="76" spans="1:19" s="1337" customFormat="1">
      <c r="A76" s="354">
        <f t="shared" ref="A76:A85" si="1">+A75+1</f>
        <v>48</v>
      </c>
      <c r="B76" s="286"/>
      <c r="C76" s="286" t="str">
        <f>"   FCR with "&amp;F12&amp;" Basis Point ROE increase, less Depreciation"</f>
        <v xml:space="preserve">   FCR with 0 Basis Point ROE increase, less Depreciation</v>
      </c>
      <c r="D76" s="354"/>
      <c r="E76" s="286"/>
      <c r="F76" s="648">
        <f>IF(F71=0,0,F75/F71)</f>
        <v>0.12455202222466152</v>
      </c>
      <c r="G76" s="648"/>
      <c r="H76" s="1461"/>
      <c r="J76" s="286"/>
      <c r="K76" s="286"/>
      <c r="L76" s="286"/>
      <c r="M76" s="286"/>
      <c r="N76" s="286"/>
      <c r="O76" s="286"/>
      <c r="P76" s="286"/>
      <c r="Q76" s="286"/>
      <c r="R76" s="286"/>
      <c r="S76" s="286"/>
    </row>
    <row r="77" spans="1:19">
      <c r="A77" s="354">
        <f t="shared" si="1"/>
        <v>49</v>
      </c>
      <c r="C77" s="270" t="str">
        <f>"   FCR less Depreciation  (TCOS, ln "&amp;'SWEPCO TCOS'!B30&amp;")"</f>
        <v xml:space="preserve">   FCR less Depreciation  (TCOS, ln 10)</v>
      </c>
      <c r="F77" s="1022">
        <f>+'SWEPCO TCOS'!L30</f>
        <v>0.1245263399019997</v>
      </c>
      <c r="G77" s="1022"/>
      <c r="H77" s="1477"/>
    </row>
    <row r="78" spans="1:19">
      <c r="A78" s="354">
        <f t="shared" si="1"/>
        <v>50</v>
      </c>
      <c r="C78" s="286" t="str">
        <f>"   Incremental FCR with "&amp;F12&amp;" Basis Point ROE increase, less Depreciation"</f>
        <v xml:space="preserve">   Incremental FCR with 0 Basis Point ROE increase, less Depreciation</v>
      </c>
      <c r="F78" s="648">
        <f>F76-F77</f>
        <v>2.5682322661826906E-5</v>
      </c>
      <c r="G78" s="648"/>
    </row>
    <row r="79" spans="1:19">
      <c r="A79" s="354"/>
      <c r="F79" s="648"/>
      <c r="G79" s="648"/>
    </row>
    <row r="80" spans="1:19" ht="18">
      <c r="A80" s="354"/>
      <c r="B80" s="929" t="s">
        <v>312</v>
      </c>
      <c r="C80" s="35" t="s">
        <v>380</v>
      </c>
      <c r="F80" s="648"/>
      <c r="G80" s="648"/>
    </row>
    <row r="81" spans="1:16">
      <c r="A81" s="354">
        <f>+A78+1</f>
        <v>51</v>
      </c>
      <c r="C81" s="286" t="str">
        <f>"Transmission Plant Average Balance for "&amp;'SWEPCO TCOS'!$N$2&amp;" (WS A-1 Ln "&amp;'SWEPCO WS A-1 - Plant'!A24&amp;" Col "&amp;'SWEPCO WS A-1 - Plant'!E9&amp;")"</f>
        <v>Transmission Plant Average Balance for 2024 (WS A-1 Ln 14 Col (d))</v>
      </c>
      <c r="F81" s="1354">
        <f>+'SWEPCO WS A-1 - Plant'!E24</f>
        <v>2739528174.0769229</v>
      </c>
      <c r="G81" s="1354"/>
    </row>
    <row r="82" spans="1:16">
      <c r="A82" s="354">
        <f t="shared" si="1"/>
        <v>52</v>
      </c>
      <c r="C82" s="270" t="str">
        <f>"Annual Depreciation Expense  (TCOS, ln "&amp;'SWEPCO TCOS'!B153&amp;")"</f>
        <v>Annual Depreciation Expense  (TCOS, ln 86)</v>
      </c>
      <c r="F82" s="1354">
        <f>+'SWEPCO TCOS'!G153</f>
        <v>62416638</v>
      </c>
      <c r="G82" s="1354"/>
    </row>
    <row r="83" spans="1:16">
      <c r="A83" s="354">
        <f t="shared" si="1"/>
        <v>53</v>
      </c>
      <c r="C83" s="286" t="s">
        <v>381</v>
      </c>
      <c r="F83" s="648">
        <f>IF(F81=0,0,F82/F81)</f>
        <v>2.2783718229519991E-2</v>
      </c>
      <c r="G83" s="648"/>
      <c r="I83" s="1336"/>
    </row>
    <row r="84" spans="1:16">
      <c r="A84" s="354">
        <f t="shared" si="1"/>
        <v>54</v>
      </c>
      <c r="C84" s="286" t="s">
        <v>382</v>
      </c>
      <c r="F84" s="1336">
        <f>IF(F83=0,0,1/F83)</f>
        <v>43.890992239551942</v>
      </c>
      <c r="G84" s="1336"/>
    </row>
    <row r="85" spans="1:16">
      <c r="A85" s="354">
        <f t="shared" si="1"/>
        <v>55</v>
      </c>
      <c r="C85" s="286" t="s">
        <v>383</v>
      </c>
      <c r="F85" s="1350">
        <f>ROUND(F84,0)</f>
        <v>44</v>
      </c>
      <c r="G85" s="1350"/>
    </row>
    <row r="86" spans="1:16">
      <c r="F86" s="1350"/>
      <c r="G86" s="1350"/>
    </row>
    <row r="87" spans="1:16">
      <c r="F87" s="1350"/>
      <c r="G87" s="1350"/>
    </row>
    <row r="88" spans="1:16" ht="20">
      <c r="A88" s="1024" t="str">
        <f>"'Worksheet F --  "&amp;'SWEPCO TCOS'!F8&amp;" --  Calculation of Projected ARR for SPP Base Plan Upgrade Projects"</f>
        <v>'Worksheet F --  SOUTHWESTERN ELECTRIC POWER COMPANY --  Calculation of Projected ARR for SPP Base Plan Upgrade Projects</v>
      </c>
      <c r="F88" s="648"/>
      <c r="H88" s="1478"/>
      <c r="I88" s="286"/>
      <c r="K88" s="1026"/>
      <c r="L88" s="1026"/>
      <c r="M88" s="1026"/>
      <c r="N88" s="1026"/>
    </row>
    <row r="89" spans="1:16" ht="17.5">
      <c r="H89" s="1478"/>
      <c r="I89" s="286"/>
      <c r="N89" s="1027"/>
    </row>
    <row r="90" spans="1:16" ht="18">
      <c r="B90" s="929" t="s">
        <v>313</v>
      </c>
      <c r="C90" s="35" t="s">
        <v>445</v>
      </c>
      <c r="H90" s="1478"/>
      <c r="I90" s="1478"/>
      <c r="J90" s="1479"/>
      <c r="K90" s="1478"/>
      <c r="L90" s="1478"/>
      <c r="M90" s="1478"/>
      <c r="N90" s="1478"/>
      <c r="P90" s="1029"/>
    </row>
    <row r="91" spans="1:16" ht="16" thickBot="1">
      <c r="C91" s="495"/>
      <c r="H91" s="1478"/>
      <c r="I91" s="1478"/>
      <c r="J91" s="1479"/>
      <c r="K91" s="1478"/>
      <c r="L91" s="1478"/>
      <c r="M91" s="1478"/>
      <c r="N91" s="1478"/>
    </row>
    <row r="92" spans="1:16" ht="15.5">
      <c r="C92" s="1030" t="s">
        <v>446</v>
      </c>
      <c r="G92" s="1480"/>
      <c r="H92" s="1032"/>
      <c r="I92" s="286"/>
      <c r="K92" s="1033" t="s">
        <v>480</v>
      </c>
      <c r="L92" s="1034"/>
      <c r="M92" s="1481"/>
      <c r="N92" s="1482"/>
    </row>
    <row r="93" spans="1:16" ht="15.5">
      <c r="C93" s="931"/>
      <c r="H93" s="1483"/>
      <c r="I93" s="1483"/>
      <c r="J93" s="1484"/>
      <c r="K93" s="1039" t="s">
        <v>481</v>
      </c>
      <c r="L93" s="1485"/>
      <c r="N93" s="1486"/>
    </row>
    <row r="94" spans="1:16" ht="13.5" thickBot="1">
      <c r="C94" s="561" t="s">
        <v>447</v>
      </c>
      <c r="D94" s="1042"/>
      <c r="E94" s="1042"/>
      <c r="F94" s="1042"/>
      <c r="H94" s="1478"/>
      <c r="I94" s="1478"/>
      <c r="J94" s="1479"/>
      <c r="K94" s="1487" t="s">
        <v>448</v>
      </c>
      <c r="L94" s="1488"/>
      <c r="M94" s="1488"/>
      <c r="N94" s="1489">
        <f>+N93-N92</f>
        <v>0</v>
      </c>
    </row>
    <row r="95" spans="1:16" ht="13.5" thickBot="1">
      <c r="C95" s="561"/>
      <c r="D95" s="286"/>
      <c r="E95" s="626"/>
      <c r="F95" s="626"/>
      <c r="G95" s="626"/>
      <c r="H95" s="626"/>
      <c r="I95" s="626"/>
      <c r="J95" s="626"/>
      <c r="K95" s="626"/>
      <c r="L95" s="626"/>
      <c r="M95" s="626"/>
      <c r="N95" s="626"/>
      <c r="O95" s="626"/>
    </row>
    <row r="96" spans="1:16" ht="13.5" thickBot="1">
      <c r="C96" s="1046" t="s">
        <v>449</v>
      </c>
      <c r="D96" s="1047"/>
      <c r="E96" s="1490" t="s">
        <v>664</v>
      </c>
      <c r="F96" s="1049"/>
      <c r="G96" s="1049"/>
      <c r="H96" s="1049"/>
      <c r="I96" s="1050"/>
      <c r="J96" s="33"/>
    </row>
    <row r="97" spans="2:15" ht="13">
      <c r="C97" s="1491" t="s">
        <v>450</v>
      </c>
      <c r="D97" s="1492"/>
      <c r="E97" s="286" t="s">
        <v>51</v>
      </c>
      <c r="G97" s="354"/>
      <c r="H97" s="354"/>
      <c r="I97" s="1053">
        <f>+K19</f>
        <v>2024</v>
      </c>
      <c r="J97" s="33"/>
      <c r="K97" s="1479" t="s">
        <v>451</v>
      </c>
    </row>
    <row r="98" spans="2:15">
      <c r="C98" s="1441" t="s">
        <v>452</v>
      </c>
      <c r="D98" s="1493"/>
      <c r="E98" s="1441" t="s">
        <v>453</v>
      </c>
      <c r="F98" s="354"/>
      <c r="I98" s="1494">
        <f>+F12</f>
        <v>0</v>
      </c>
      <c r="J98" s="1495"/>
      <c r="K98" s="286" t="str">
        <f>"          INPUT PROJECTED ARR (WITH &amp; WITHOUT INCENTIVES) FROM EACH PRIOR YEAR"</f>
        <v xml:space="preserve">          INPUT PROJECTED ARR (WITH &amp; WITHOUT INCENTIVES) FROM EACH PRIOR YEAR</v>
      </c>
    </row>
    <row r="99" spans="2:15">
      <c r="C99" s="1441" t="s">
        <v>454</v>
      </c>
      <c r="D99" s="1492">
        <v>0</v>
      </c>
      <c r="E99" s="1441" t="s">
        <v>455</v>
      </c>
      <c r="F99" s="354"/>
      <c r="I99" s="1496">
        <f>+F77</f>
        <v>0.1245263399019997</v>
      </c>
      <c r="J99" s="648"/>
      <c r="K99" s="286" t="s">
        <v>456</v>
      </c>
    </row>
    <row r="100" spans="2:15">
      <c r="C100" s="1441" t="s">
        <v>457</v>
      </c>
      <c r="D100" s="1492">
        <v>0</v>
      </c>
      <c r="E100" s="1441" t="s">
        <v>458</v>
      </c>
      <c r="F100" s="354"/>
      <c r="I100" s="1496">
        <f>IF(G92="",I99,F76)</f>
        <v>0.1245263399019997</v>
      </c>
      <c r="J100" s="648"/>
      <c r="K100" s="1479" t="s">
        <v>459</v>
      </c>
      <c r="L100" s="648"/>
      <c r="M100" s="648"/>
      <c r="N100" s="648"/>
    </row>
    <row r="101" spans="2:15" ht="13" thickBot="1">
      <c r="C101" s="1441" t="s">
        <v>460</v>
      </c>
      <c r="D101" s="1493"/>
      <c r="E101" s="286" t="s">
        <v>461</v>
      </c>
      <c r="F101" s="354"/>
      <c r="I101" s="1497">
        <f>IF(D97=0,0,D97/D100)</f>
        <v>0</v>
      </c>
      <c r="J101" s="1479"/>
      <c r="K101" s="1479"/>
      <c r="L101" s="1479"/>
      <c r="M101" s="1479"/>
      <c r="N101" s="1479"/>
    </row>
    <row r="102" spans="2:15" ht="66" customHeight="1">
      <c r="C102" s="1059" t="s">
        <v>384</v>
      </c>
      <c r="D102" s="1498" t="s">
        <v>462</v>
      </c>
      <c r="E102" s="1498" t="s">
        <v>463</v>
      </c>
      <c r="F102" s="1498" t="s">
        <v>464</v>
      </c>
      <c r="G102" s="1499" t="s">
        <v>465</v>
      </c>
      <c r="H102" s="1500" t="s">
        <v>466</v>
      </c>
      <c r="I102" s="1059" t="s">
        <v>467</v>
      </c>
      <c r="J102" s="1063"/>
      <c r="K102" s="1501" t="s">
        <v>468</v>
      </c>
      <c r="L102" s="1502" t="s">
        <v>469</v>
      </c>
      <c r="M102" s="1501" t="s">
        <v>468</v>
      </c>
      <c r="N102" s="1502" t="s">
        <v>469</v>
      </c>
      <c r="O102" s="1503" t="s">
        <v>470</v>
      </c>
    </row>
    <row r="103" spans="2:15" ht="15" customHeight="1" thickBot="1">
      <c r="C103" s="1067" t="s">
        <v>471</v>
      </c>
      <c r="D103" s="1068" t="s">
        <v>316</v>
      </c>
      <c r="E103" s="1068" t="s">
        <v>215</v>
      </c>
      <c r="F103" s="1068" t="s">
        <v>316</v>
      </c>
      <c r="G103" s="1504" t="s">
        <v>472</v>
      </c>
      <c r="H103" s="1505" t="s">
        <v>473</v>
      </c>
      <c r="I103" s="1068" t="s">
        <v>657</v>
      </c>
      <c r="J103" s="1063" t="s">
        <v>474</v>
      </c>
      <c r="K103" s="1506" t="s">
        <v>475</v>
      </c>
      <c r="L103" s="1507" t="s">
        <v>475</v>
      </c>
      <c r="M103" s="1506" t="s">
        <v>658</v>
      </c>
      <c r="N103" s="1508" t="s">
        <v>658</v>
      </c>
      <c r="O103" s="1506" t="s">
        <v>658</v>
      </c>
    </row>
    <row r="104" spans="2:15">
      <c r="B104" s="354"/>
      <c r="C104" s="1509" t="str">
        <f>IF(D98= "","-",D98)</f>
        <v>-</v>
      </c>
      <c r="D104" s="1350">
        <f>D97</f>
        <v>0</v>
      </c>
      <c r="E104" s="1510">
        <f>I101/12*(12-D99)</f>
        <v>0</v>
      </c>
      <c r="F104" s="1350">
        <f t="shared" ref="F104:F159" si="2">+D104-E104</f>
        <v>0</v>
      </c>
      <c r="G104" s="1510">
        <f>+I99*F104+E104</f>
        <v>0</v>
      </c>
      <c r="H104" s="1497">
        <f>+I100*F104+E104</f>
        <v>0</v>
      </c>
      <c r="I104" s="1511">
        <f t="shared" ref="I104:I159" si="3">H104-G104</f>
        <v>0</v>
      </c>
      <c r="J104" s="1511"/>
      <c r="K104" s="1512"/>
      <c r="L104" s="1512">
        <f t="shared" ref="L104:L159" si="4">IF(K104&lt;&gt;0,+G104-K104,0)</f>
        <v>0</v>
      </c>
      <c r="M104" s="1512"/>
      <c r="N104" s="1512">
        <f t="shared" ref="N104:N159" si="5">IF(M104&lt;&gt;0,+H104-M104,0)</f>
        <v>0</v>
      </c>
      <c r="O104" s="1513">
        <f t="shared" ref="O104:O159" si="6">+N104-L104</f>
        <v>0</v>
      </c>
    </row>
    <row r="105" spans="2:15">
      <c r="B105" s="354" t="str">
        <f>IF(D105=F104,"","IU")</f>
        <v/>
      </c>
      <c r="C105" s="1509" t="str">
        <f>IF(D98="","-",+C104+1)</f>
        <v>-</v>
      </c>
      <c r="D105" s="1514">
        <f t="shared" ref="D105:D159" si="7">F104</f>
        <v>0</v>
      </c>
      <c r="E105" s="1515">
        <f>IF(+I101&lt;F104,I101,D105)</f>
        <v>0</v>
      </c>
      <c r="F105" s="1514">
        <f t="shared" si="2"/>
        <v>0</v>
      </c>
      <c r="G105" s="1515">
        <f>+I$11*F105+E105</f>
        <v>0</v>
      </c>
      <c r="H105" s="1497">
        <f>+I$12*F105+E105</f>
        <v>0</v>
      </c>
      <c r="I105" s="1511">
        <f t="shared" si="3"/>
        <v>0</v>
      </c>
      <c r="J105" s="1511"/>
      <c r="K105" s="1516"/>
      <c r="L105" s="1513">
        <f t="shared" si="4"/>
        <v>0</v>
      </c>
      <c r="M105" s="1516"/>
      <c r="N105" s="1513">
        <f t="shared" si="5"/>
        <v>0</v>
      </c>
      <c r="O105" s="1513">
        <f t="shared" si="6"/>
        <v>0</v>
      </c>
    </row>
    <row r="106" spans="2:15">
      <c r="B106" s="354" t="str">
        <f>IF(D106=F105,"","IU")</f>
        <v/>
      </c>
      <c r="C106" s="1509" t="str">
        <f>IF(D98="","-",+C105+1)</f>
        <v>-</v>
      </c>
      <c r="D106" s="1514">
        <f t="shared" si="7"/>
        <v>0</v>
      </c>
      <c r="E106" s="1515">
        <f>IF(+I101&lt;F105,I101,D106)</f>
        <v>0</v>
      </c>
      <c r="F106" s="1514">
        <f t="shared" si="2"/>
        <v>0</v>
      </c>
      <c r="G106" s="1515">
        <f t="shared" ref="G106:G159" si="8">+I$11*F106+E106</f>
        <v>0</v>
      </c>
      <c r="H106" s="1497">
        <f t="shared" ref="H106:H159" si="9">+I$12*F106+E106</f>
        <v>0</v>
      </c>
      <c r="I106" s="1511">
        <f t="shared" si="3"/>
        <v>0</v>
      </c>
      <c r="J106" s="1511"/>
      <c r="K106" s="1516"/>
      <c r="L106" s="1513">
        <f t="shared" si="4"/>
        <v>0</v>
      </c>
      <c r="M106" s="1516"/>
      <c r="N106" s="1513">
        <f t="shared" si="5"/>
        <v>0</v>
      </c>
      <c r="O106" s="1513">
        <f t="shared" si="6"/>
        <v>0</v>
      </c>
    </row>
    <row r="107" spans="2:15">
      <c r="B107" s="354" t="str">
        <f t="shared" ref="B107:B159" si="10">IF(D107=F106,"","IU")</f>
        <v/>
      </c>
      <c r="C107" s="1509" t="str">
        <f>IF(D98="","-",+C106+1)</f>
        <v>-</v>
      </c>
      <c r="D107" s="1514">
        <f t="shared" si="7"/>
        <v>0</v>
      </c>
      <c r="E107" s="1515">
        <f>IF(+I101&lt;F106,I101,D107)</f>
        <v>0</v>
      </c>
      <c r="F107" s="1514">
        <f t="shared" si="2"/>
        <v>0</v>
      </c>
      <c r="G107" s="1515">
        <f t="shared" si="8"/>
        <v>0</v>
      </c>
      <c r="H107" s="1497">
        <f t="shared" si="9"/>
        <v>0</v>
      </c>
      <c r="I107" s="1511">
        <f t="shared" si="3"/>
        <v>0</v>
      </c>
      <c r="J107" s="1511"/>
      <c r="K107" s="1516"/>
      <c r="L107" s="1513">
        <f t="shared" si="4"/>
        <v>0</v>
      </c>
      <c r="M107" s="1516"/>
      <c r="N107" s="1513">
        <f t="shared" si="5"/>
        <v>0</v>
      </c>
      <c r="O107" s="1513">
        <f t="shared" si="6"/>
        <v>0</v>
      </c>
    </row>
    <row r="108" spans="2:15">
      <c r="B108" s="354" t="str">
        <f t="shared" si="10"/>
        <v/>
      </c>
      <c r="C108" s="1509" t="str">
        <f>IF(D98="","-",+C107+1)</f>
        <v>-</v>
      </c>
      <c r="D108" s="1514">
        <f t="shared" si="7"/>
        <v>0</v>
      </c>
      <c r="E108" s="1515">
        <f>IF(+I101&lt;F107,I101,D108)</f>
        <v>0</v>
      </c>
      <c r="F108" s="1514">
        <f t="shared" si="2"/>
        <v>0</v>
      </c>
      <c r="G108" s="1515">
        <f t="shared" si="8"/>
        <v>0</v>
      </c>
      <c r="H108" s="1497">
        <f t="shared" si="9"/>
        <v>0</v>
      </c>
      <c r="I108" s="1511">
        <f t="shared" si="3"/>
        <v>0</v>
      </c>
      <c r="J108" s="1511"/>
      <c r="K108" s="1516"/>
      <c r="L108" s="1513">
        <f t="shared" si="4"/>
        <v>0</v>
      </c>
      <c r="M108" s="1516"/>
      <c r="N108" s="1513">
        <f t="shared" si="5"/>
        <v>0</v>
      </c>
      <c r="O108" s="1513">
        <f t="shared" si="6"/>
        <v>0</v>
      </c>
    </row>
    <row r="109" spans="2:15">
      <c r="B109" s="354" t="str">
        <f t="shared" si="10"/>
        <v/>
      </c>
      <c r="C109" s="1509" t="str">
        <f>IF(D98="","-",+C108+1)</f>
        <v>-</v>
      </c>
      <c r="D109" s="1514">
        <f t="shared" si="7"/>
        <v>0</v>
      </c>
      <c r="E109" s="1515">
        <f>IF(+I101&lt;F108,I101,D109)</f>
        <v>0</v>
      </c>
      <c r="F109" s="1514">
        <f t="shared" si="2"/>
        <v>0</v>
      </c>
      <c r="G109" s="1515">
        <f t="shared" si="8"/>
        <v>0</v>
      </c>
      <c r="H109" s="1497">
        <f t="shared" si="9"/>
        <v>0</v>
      </c>
      <c r="I109" s="1511">
        <f t="shared" si="3"/>
        <v>0</v>
      </c>
      <c r="J109" s="1511"/>
      <c r="K109" s="1516"/>
      <c r="L109" s="1513">
        <f t="shared" si="4"/>
        <v>0</v>
      </c>
      <c r="M109" s="1516"/>
      <c r="N109" s="1513">
        <f t="shared" si="5"/>
        <v>0</v>
      </c>
      <c r="O109" s="1513">
        <f t="shared" si="6"/>
        <v>0</v>
      </c>
    </row>
    <row r="110" spans="2:15">
      <c r="B110" s="354" t="str">
        <f t="shared" si="10"/>
        <v/>
      </c>
      <c r="C110" s="1509" t="str">
        <f>IF(D98="","-",+C109+1)</f>
        <v>-</v>
      </c>
      <c r="D110" s="1514">
        <f t="shared" si="7"/>
        <v>0</v>
      </c>
      <c r="E110" s="1515">
        <f>IF(+I101&lt;F109,I101,D110)</f>
        <v>0</v>
      </c>
      <c r="F110" s="1514">
        <f t="shared" si="2"/>
        <v>0</v>
      </c>
      <c r="G110" s="1515">
        <f t="shared" si="8"/>
        <v>0</v>
      </c>
      <c r="H110" s="1497">
        <f t="shared" si="9"/>
        <v>0</v>
      </c>
      <c r="I110" s="1511">
        <f t="shared" si="3"/>
        <v>0</v>
      </c>
      <c r="J110" s="1511"/>
      <c r="K110" s="1516"/>
      <c r="L110" s="1513">
        <f t="shared" si="4"/>
        <v>0</v>
      </c>
      <c r="M110" s="1516"/>
      <c r="N110" s="1513">
        <f t="shared" si="5"/>
        <v>0</v>
      </c>
      <c r="O110" s="1513">
        <f t="shared" si="6"/>
        <v>0</v>
      </c>
    </row>
    <row r="111" spans="2:15">
      <c r="B111" s="354" t="str">
        <f t="shared" si="10"/>
        <v/>
      </c>
      <c r="C111" s="1509" t="str">
        <f>IF(D98="","-",+C110+1)</f>
        <v>-</v>
      </c>
      <c r="D111" s="1514">
        <f t="shared" si="7"/>
        <v>0</v>
      </c>
      <c r="E111" s="1515">
        <f>IF(+I101&lt;F110,I101,D111)</f>
        <v>0</v>
      </c>
      <c r="F111" s="1514">
        <f t="shared" si="2"/>
        <v>0</v>
      </c>
      <c r="G111" s="1515">
        <f t="shared" si="8"/>
        <v>0</v>
      </c>
      <c r="H111" s="1497">
        <f t="shared" si="9"/>
        <v>0</v>
      </c>
      <c r="I111" s="1511">
        <f t="shared" si="3"/>
        <v>0</v>
      </c>
      <c r="J111" s="1511"/>
      <c r="K111" s="1516"/>
      <c r="L111" s="1513">
        <f t="shared" si="4"/>
        <v>0</v>
      </c>
      <c r="M111" s="1516"/>
      <c r="N111" s="1513">
        <f t="shared" si="5"/>
        <v>0</v>
      </c>
      <c r="O111" s="1513">
        <f t="shared" si="6"/>
        <v>0</v>
      </c>
    </row>
    <row r="112" spans="2:15">
      <c r="B112" s="354" t="str">
        <f t="shared" si="10"/>
        <v/>
      </c>
      <c r="C112" s="1509" t="str">
        <f>IF(D98="","-",+C111+1)</f>
        <v>-</v>
      </c>
      <c r="D112" s="1514">
        <f t="shared" si="7"/>
        <v>0</v>
      </c>
      <c r="E112" s="1515">
        <f>IF(+I101&lt;F111,I101,D112)</f>
        <v>0</v>
      </c>
      <c r="F112" s="1514">
        <f t="shared" si="2"/>
        <v>0</v>
      </c>
      <c r="G112" s="1515">
        <f t="shared" si="8"/>
        <v>0</v>
      </c>
      <c r="H112" s="1497">
        <f t="shared" si="9"/>
        <v>0</v>
      </c>
      <c r="I112" s="1511">
        <f t="shared" si="3"/>
        <v>0</v>
      </c>
      <c r="J112" s="1511"/>
      <c r="K112" s="1516"/>
      <c r="L112" s="1513">
        <f t="shared" si="4"/>
        <v>0</v>
      </c>
      <c r="M112" s="1516"/>
      <c r="N112" s="1513">
        <f t="shared" si="5"/>
        <v>0</v>
      </c>
      <c r="O112" s="1513">
        <f t="shared" si="6"/>
        <v>0</v>
      </c>
    </row>
    <row r="113" spans="2:15">
      <c r="B113" s="354" t="str">
        <f t="shared" si="10"/>
        <v/>
      </c>
      <c r="C113" s="1509" t="str">
        <f>IF(D98="","-",+C112+1)</f>
        <v>-</v>
      </c>
      <c r="D113" s="1514">
        <f t="shared" si="7"/>
        <v>0</v>
      </c>
      <c r="E113" s="1515">
        <f>IF(+I101&lt;F112,I101,D113)</f>
        <v>0</v>
      </c>
      <c r="F113" s="1514">
        <f t="shared" si="2"/>
        <v>0</v>
      </c>
      <c r="G113" s="1515">
        <f t="shared" si="8"/>
        <v>0</v>
      </c>
      <c r="H113" s="1497">
        <f t="shared" si="9"/>
        <v>0</v>
      </c>
      <c r="I113" s="1511">
        <f t="shared" si="3"/>
        <v>0</v>
      </c>
      <c r="J113" s="1511"/>
      <c r="K113" s="1516"/>
      <c r="L113" s="1513">
        <f t="shared" si="4"/>
        <v>0</v>
      </c>
      <c r="M113" s="1516"/>
      <c r="N113" s="1513">
        <f t="shared" si="5"/>
        <v>0</v>
      </c>
      <c r="O113" s="1513">
        <f t="shared" si="6"/>
        <v>0</v>
      </c>
    </row>
    <row r="114" spans="2:15">
      <c r="B114" s="354" t="str">
        <f t="shared" si="10"/>
        <v/>
      </c>
      <c r="C114" s="1509" t="str">
        <f>IF(D98="","-",+C113+1)</f>
        <v>-</v>
      </c>
      <c r="D114" s="1514">
        <f t="shared" si="7"/>
        <v>0</v>
      </c>
      <c r="E114" s="1515">
        <f>IF(+I101&lt;F113,I101,D114)</f>
        <v>0</v>
      </c>
      <c r="F114" s="1514">
        <f t="shared" si="2"/>
        <v>0</v>
      </c>
      <c r="G114" s="1515">
        <f t="shared" si="8"/>
        <v>0</v>
      </c>
      <c r="H114" s="1497">
        <f t="shared" si="9"/>
        <v>0</v>
      </c>
      <c r="I114" s="1511">
        <f t="shared" si="3"/>
        <v>0</v>
      </c>
      <c r="J114" s="1511"/>
      <c r="K114" s="1516"/>
      <c r="L114" s="1513">
        <f t="shared" si="4"/>
        <v>0</v>
      </c>
      <c r="M114" s="1516"/>
      <c r="N114" s="1513">
        <f t="shared" si="5"/>
        <v>0</v>
      </c>
      <c r="O114" s="1513">
        <f t="shared" si="6"/>
        <v>0</v>
      </c>
    </row>
    <row r="115" spans="2:15">
      <c r="B115" s="354" t="str">
        <f t="shared" si="10"/>
        <v/>
      </c>
      <c r="C115" s="1509" t="str">
        <f>IF(D98="","-",+C114+1)</f>
        <v>-</v>
      </c>
      <c r="D115" s="1514">
        <f t="shared" si="7"/>
        <v>0</v>
      </c>
      <c r="E115" s="1515">
        <f>IF(+I101&lt;F114,I101,D115)</f>
        <v>0</v>
      </c>
      <c r="F115" s="1514">
        <f t="shared" si="2"/>
        <v>0</v>
      </c>
      <c r="G115" s="1515">
        <f t="shared" si="8"/>
        <v>0</v>
      </c>
      <c r="H115" s="1497">
        <f t="shared" si="9"/>
        <v>0</v>
      </c>
      <c r="I115" s="1511">
        <f t="shared" si="3"/>
        <v>0</v>
      </c>
      <c r="J115" s="1511"/>
      <c r="K115" s="1516"/>
      <c r="L115" s="1513">
        <f t="shared" si="4"/>
        <v>0</v>
      </c>
      <c r="M115" s="1516"/>
      <c r="N115" s="1513">
        <f t="shared" si="5"/>
        <v>0</v>
      </c>
      <c r="O115" s="1513">
        <f t="shared" si="6"/>
        <v>0</v>
      </c>
    </row>
    <row r="116" spans="2:15">
      <c r="B116" s="354" t="str">
        <f t="shared" si="10"/>
        <v/>
      </c>
      <c r="C116" s="1509" t="str">
        <f>IF(D98="","-",+C115+1)</f>
        <v>-</v>
      </c>
      <c r="D116" s="1514">
        <f t="shared" si="7"/>
        <v>0</v>
      </c>
      <c r="E116" s="1515">
        <f>IF(+I101&lt;F115,I101,D116)</f>
        <v>0</v>
      </c>
      <c r="F116" s="1514">
        <f t="shared" si="2"/>
        <v>0</v>
      </c>
      <c r="G116" s="1515">
        <f t="shared" si="8"/>
        <v>0</v>
      </c>
      <c r="H116" s="1497">
        <f t="shared" si="9"/>
        <v>0</v>
      </c>
      <c r="I116" s="1511">
        <f t="shared" si="3"/>
        <v>0</v>
      </c>
      <c r="J116" s="1511"/>
      <c r="K116" s="1516"/>
      <c r="L116" s="1513">
        <f t="shared" si="4"/>
        <v>0</v>
      </c>
      <c r="M116" s="1516"/>
      <c r="N116" s="1513">
        <f t="shared" si="5"/>
        <v>0</v>
      </c>
      <c r="O116" s="1513">
        <f t="shared" si="6"/>
        <v>0</v>
      </c>
    </row>
    <row r="117" spans="2:15">
      <c r="B117" s="354" t="str">
        <f t="shared" si="10"/>
        <v/>
      </c>
      <c r="C117" s="1509" t="str">
        <f>IF(D98="","-",+C116+1)</f>
        <v>-</v>
      </c>
      <c r="D117" s="1514">
        <f t="shared" si="7"/>
        <v>0</v>
      </c>
      <c r="E117" s="1515">
        <f>IF(+I101&lt;F116,I101,D117)</f>
        <v>0</v>
      </c>
      <c r="F117" s="1514">
        <f t="shared" si="2"/>
        <v>0</v>
      </c>
      <c r="G117" s="1515">
        <f t="shared" si="8"/>
        <v>0</v>
      </c>
      <c r="H117" s="1497">
        <f t="shared" si="9"/>
        <v>0</v>
      </c>
      <c r="I117" s="1511">
        <f t="shared" si="3"/>
        <v>0</v>
      </c>
      <c r="J117" s="1511"/>
      <c r="K117" s="1516"/>
      <c r="L117" s="1513">
        <f t="shared" si="4"/>
        <v>0</v>
      </c>
      <c r="M117" s="1516"/>
      <c r="N117" s="1513">
        <f t="shared" si="5"/>
        <v>0</v>
      </c>
      <c r="O117" s="1513">
        <f t="shared" si="6"/>
        <v>0</v>
      </c>
    </row>
    <row r="118" spans="2:15">
      <c r="B118" s="354" t="str">
        <f t="shared" si="10"/>
        <v/>
      </c>
      <c r="C118" s="1509" t="str">
        <f>IF(D98="","-",+C117+1)</f>
        <v>-</v>
      </c>
      <c r="D118" s="1514">
        <f t="shared" si="7"/>
        <v>0</v>
      </c>
      <c r="E118" s="1515">
        <f>IF(+I101&lt;F117,I101,D118)</f>
        <v>0</v>
      </c>
      <c r="F118" s="1514">
        <f t="shared" si="2"/>
        <v>0</v>
      </c>
      <c r="G118" s="1515">
        <f t="shared" si="8"/>
        <v>0</v>
      </c>
      <c r="H118" s="1497">
        <f t="shared" si="9"/>
        <v>0</v>
      </c>
      <c r="I118" s="1511">
        <f t="shared" si="3"/>
        <v>0</v>
      </c>
      <c r="J118" s="1511"/>
      <c r="K118" s="1516"/>
      <c r="L118" s="1513">
        <f t="shared" si="4"/>
        <v>0</v>
      </c>
      <c r="M118" s="1516"/>
      <c r="N118" s="1513">
        <f t="shared" si="5"/>
        <v>0</v>
      </c>
      <c r="O118" s="1513">
        <f t="shared" si="6"/>
        <v>0</v>
      </c>
    </row>
    <row r="119" spans="2:15">
      <c r="B119" s="354" t="str">
        <f t="shared" si="10"/>
        <v/>
      </c>
      <c r="C119" s="1509" t="str">
        <f>IF(D98="","-",+C118+1)</f>
        <v>-</v>
      </c>
      <c r="D119" s="1514">
        <f t="shared" si="7"/>
        <v>0</v>
      </c>
      <c r="E119" s="1515">
        <f>IF(+I101&lt;F118,I101,D119)</f>
        <v>0</v>
      </c>
      <c r="F119" s="1514">
        <f t="shared" si="2"/>
        <v>0</v>
      </c>
      <c r="G119" s="1515">
        <f t="shared" si="8"/>
        <v>0</v>
      </c>
      <c r="H119" s="1497">
        <f t="shared" si="9"/>
        <v>0</v>
      </c>
      <c r="I119" s="1511">
        <f t="shared" si="3"/>
        <v>0</v>
      </c>
      <c r="J119" s="1511"/>
      <c r="K119" s="1516"/>
      <c r="L119" s="1513">
        <f t="shared" si="4"/>
        <v>0</v>
      </c>
      <c r="M119" s="1516"/>
      <c r="N119" s="1513">
        <f t="shared" si="5"/>
        <v>0</v>
      </c>
      <c r="O119" s="1513">
        <f t="shared" si="6"/>
        <v>0</v>
      </c>
    </row>
    <row r="120" spans="2:15">
      <c r="B120" s="354" t="str">
        <f t="shared" si="10"/>
        <v/>
      </c>
      <c r="C120" s="1509" t="str">
        <f>IF(D98="","-",+C119+1)</f>
        <v>-</v>
      </c>
      <c r="D120" s="1514">
        <f t="shared" si="7"/>
        <v>0</v>
      </c>
      <c r="E120" s="1515">
        <f>IF(+I101&lt;F119,I101,D120)</f>
        <v>0</v>
      </c>
      <c r="F120" s="1514">
        <f t="shared" si="2"/>
        <v>0</v>
      </c>
      <c r="G120" s="1515">
        <f t="shared" si="8"/>
        <v>0</v>
      </c>
      <c r="H120" s="1497">
        <f t="shared" si="9"/>
        <v>0</v>
      </c>
      <c r="I120" s="1511">
        <f t="shared" si="3"/>
        <v>0</v>
      </c>
      <c r="J120" s="1511"/>
      <c r="K120" s="1516"/>
      <c r="L120" s="1513">
        <f t="shared" si="4"/>
        <v>0</v>
      </c>
      <c r="M120" s="1516"/>
      <c r="N120" s="1513">
        <f t="shared" si="5"/>
        <v>0</v>
      </c>
      <c r="O120" s="1513">
        <f t="shared" si="6"/>
        <v>0</v>
      </c>
    </row>
    <row r="121" spans="2:15">
      <c r="B121" s="354" t="str">
        <f t="shared" si="10"/>
        <v/>
      </c>
      <c r="C121" s="1509" t="str">
        <f>IF(D98="","-",+C120+1)</f>
        <v>-</v>
      </c>
      <c r="D121" s="1514">
        <f t="shared" si="7"/>
        <v>0</v>
      </c>
      <c r="E121" s="1515">
        <f>IF(+I101&lt;F120,I101,D121)</f>
        <v>0</v>
      </c>
      <c r="F121" s="1514">
        <f t="shared" si="2"/>
        <v>0</v>
      </c>
      <c r="G121" s="1515">
        <f t="shared" si="8"/>
        <v>0</v>
      </c>
      <c r="H121" s="1497">
        <f t="shared" si="9"/>
        <v>0</v>
      </c>
      <c r="I121" s="1511">
        <f t="shared" si="3"/>
        <v>0</v>
      </c>
      <c r="J121" s="1511"/>
      <c r="K121" s="1516"/>
      <c r="L121" s="1513">
        <f t="shared" si="4"/>
        <v>0</v>
      </c>
      <c r="M121" s="1516"/>
      <c r="N121" s="1513">
        <f t="shared" si="5"/>
        <v>0</v>
      </c>
      <c r="O121" s="1513">
        <f t="shared" si="6"/>
        <v>0</v>
      </c>
    </row>
    <row r="122" spans="2:15">
      <c r="B122" s="354" t="str">
        <f t="shared" si="10"/>
        <v/>
      </c>
      <c r="C122" s="1509" t="str">
        <f>IF(D98="","-",+C121+1)</f>
        <v>-</v>
      </c>
      <c r="D122" s="1514">
        <f t="shared" si="7"/>
        <v>0</v>
      </c>
      <c r="E122" s="1515">
        <f>IF(+I101&lt;F121,I101,D122)</f>
        <v>0</v>
      </c>
      <c r="F122" s="1514">
        <f t="shared" si="2"/>
        <v>0</v>
      </c>
      <c r="G122" s="1515">
        <f t="shared" si="8"/>
        <v>0</v>
      </c>
      <c r="H122" s="1497">
        <f t="shared" si="9"/>
        <v>0</v>
      </c>
      <c r="I122" s="1511">
        <f t="shared" si="3"/>
        <v>0</v>
      </c>
      <c r="J122" s="1511"/>
      <c r="K122" s="1516"/>
      <c r="L122" s="1513">
        <f t="shared" si="4"/>
        <v>0</v>
      </c>
      <c r="M122" s="1516"/>
      <c r="N122" s="1513">
        <f t="shared" si="5"/>
        <v>0</v>
      </c>
      <c r="O122" s="1513">
        <f t="shared" si="6"/>
        <v>0</v>
      </c>
    </row>
    <row r="123" spans="2:15">
      <c r="B123" s="354" t="str">
        <f t="shared" si="10"/>
        <v/>
      </c>
      <c r="C123" s="1509" t="str">
        <f>IF(D98="","-",+C122+1)</f>
        <v>-</v>
      </c>
      <c r="D123" s="1514">
        <f t="shared" si="7"/>
        <v>0</v>
      </c>
      <c r="E123" s="1515">
        <f>IF(+I101&lt;F122,I101,D123)</f>
        <v>0</v>
      </c>
      <c r="F123" s="1514">
        <f t="shared" si="2"/>
        <v>0</v>
      </c>
      <c r="G123" s="1515">
        <f t="shared" si="8"/>
        <v>0</v>
      </c>
      <c r="H123" s="1497">
        <f t="shared" si="9"/>
        <v>0</v>
      </c>
      <c r="I123" s="1511">
        <f t="shared" si="3"/>
        <v>0</v>
      </c>
      <c r="J123" s="1511"/>
      <c r="K123" s="1516"/>
      <c r="L123" s="1513">
        <f t="shared" si="4"/>
        <v>0</v>
      </c>
      <c r="M123" s="1516"/>
      <c r="N123" s="1513">
        <f t="shared" si="5"/>
        <v>0</v>
      </c>
      <c r="O123" s="1513">
        <f t="shared" si="6"/>
        <v>0</v>
      </c>
    </row>
    <row r="124" spans="2:15">
      <c r="B124" s="354" t="str">
        <f t="shared" si="10"/>
        <v/>
      </c>
      <c r="C124" s="1509" t="str">
        <f>IF(D98="","-",+C123+1)</f>
        <v>-</v>
      </c>
      <c r="D124" s="1514">
        <f t="shared" si="7"/>
        <v>0</v>
      </c>
      <c r="E124" s="1515">
        <f>IF(+I101&lt;F123,I101,D124)</f>
        <v>0</v>
      </c>
      <c r="F124" s="1514">
        <f t="shared" si="2"/>
        <v>0</v>
      </c>
      <c r="G124" s="1515">
        <f t="shared" si="8"/>
        <v>0</v>
      </c>
      <c r="H124" s="1497">
        <f t="shared" si="9"/>
        <v>0</v>
      </c>
      <c r="I124" s="1511">
        <f t="shared" si="3"/>
        <v>0</v>
      </c>
      <c r="J124" s="1511"/>
      <c r="K124" s="1516"/>
      <c r="L124" s="1513">
        <f t="shared" si="4"/>
        <v>0</v>
      </c>
      <c r="M124" s="1516"/>
      <c r="N124" s="1513">
        <f t="shared" si="5"/>
        <v>0</v>
      </c>
      <c r="O124" s="1513">
        <f t="shared" si="6"/>
        <v>0</v>
      </c>
    </row>
    <row r="125" spans="2:15">
      <c r="B125" s="354" t="str">
        <f t="shared" si="10"/>
        <v/>
      </c>
      <c r="C125" s="1509" t="str">
        <f>IF(D98="","-",+C124+1)</f>
        <v>-</v>
      </c>
      <c r="D125" s="1514">
        <f t="shared" si="7"/>
        <v>0</v>
      </c>
      <c r="E125" s="1515">
        <f>IF(+I101&lt;F124,I101,D125)</f>
        <v>0</v>
      </c>
      <c r="F125" s="1514">
        <f t="shared" si="2"/>
        <v>0</v>
      </c>
      <c r="G125" s="1515">
        <f t="shared" si="8"/>
        <v>0</v>
      </c>
      <c r="H125" s="1497">
        <f t="shared" si="9"/>
        <v>0</v>
      </c>
      <c r="I125" s="1511">
        <f t="shared" si="3"/>
        <v>0</v>
      </c>
      <c r="J125" s="1511"/>
      <c r="K125" s="1516"/>
      <c r="L125" s="1513">
        <f t="shared" si="4"/>
        <v>0</v>
      </c>
      <c r="M125" s="1516"/>
      <c r="N125" s="1513">
        <f t="shared" si="5"/>
        <v>0</v>
      </c>
      <c r="O125" s="1513">
        <f t="shared" si="6"/>
        <v>0</v>
      </c>
    </row>
    <row r="126" spans="2:15">
      <c r="B126" s="354" t="str">
        <f t="shared" si="10"/>
        <v/>
      </c>
      <c r="C126" s="1509" t="str">
        <f>IF(D98="","-",+C125+1)</f>
        <v>-</v>
      </c>
      <c r="D126" s="1514">
        <f t="shared" si="7"/>
        <v>0</v>
      </c>
      <c r="E126" s="1515">
        <f>IF(+I101&lt;F125,I101,D126)</f>
        <v>0</v>
      </c>
      <c r="F126" s="1514">
        <f t="shared" si="2"/>
        <v>0</v>
      </c>
      <c r="G126" s="1515">
        <f t="shared" si="8"/>
        <v>0</v>
      </c>
      <c r="H126" s="1497">
        <f t="shared" si="9"/>
        <v>0</v>
      </c>
      <c r="I126" s="1511">
        <f t="shared" si="3"/>
        <v>0</v>
      </c>
      <c r="J126" s="1511"/>
      <c r="K126" s="1516"/>
      <c r="L126" s="1513">
        <f t="shared" si="4"/>
        <v>0</v>
      </c>
      <c r="M126" s="1516"/>
      <c r="N126" s="1513">
        <f t="shared" si="5"/>
        <v>0</v>
      </c>
      <c r="O126" s="1513">
        <f t="shared" si="6"/>
        <v>0</v>
      </c>
    </row>
    <row r="127" spans="2:15">
      <c r="B127" s="354" t="str">
        <f t="shared" si="10"/>
        <v/>
      </c>
      <c r="C127" s="1509" t="str">
        <f>IF(D98="","-",+C126+1)</f>
        <v>-</v>
      </c>
      <c r="D127" s="1514">
        <f t="shared" si="7"/>
        <v>0</v>
      </c>
      <c r="E127" s="1515">
        <f>IF(+I101&lt;F126,I101,D127)</f>
        <v>0</v>
      </c>
      <c r="F127" s="1514">
        <f t="shared" si="2"/>
        <v>0</v>
      </c>
      <c r="G127" s="1515">
        <f t="shared" si="8"/>
        <v>0</v>
      </c>
      <c r="H127" s="1497">
        <f t="shared" si="9"/>
        <v>0</v>
      </c>
      <c r="I127" s="1511">
        <f t="shared" si="3"/>
        <v>0</v>
      </c>
      <c r="J127" s="1511"/>
      <c r="K127" s="1516"/>
      <c r="L127" s="1513">
        <f t="shared" si="4"/>
        <v>0</v>
      </c>
      <c r="M127" s="1516"/>
      <c r="N127" s="1513">
        <f t="shared" si="5"/>
        <v>0</v>
      </c>
      <c r="O127" s="1513">
        <f t="shared" si="6"/>
        <v>0</v>
      </c>
    </row>
    <row r="128" spans="2:15">
      <c r="B128" s="354" t="str">
        <f t="shared" si="10"/>
        <v/>
      </c>
      <c r="C128" s="1509" t="str">
        <f>IF(D98="","-",+C127+1)</f>
        <v>-</v>
      </c>
      <c r="D128" s="1514">
        <f t="shared" si="7"/>
        <v>0</v>
      </c>
      <c r="E128" s="1515">
        <f>IF(+I101&lt;F127,I101,D128)</f>
        <v>0</v>
      </c>
      <c r="F128" s="1514">
        <f t="shared" si="2"/>
        <v>0</v>
      </c>
      <c r="G128" s="1515">
        <f t="shared" si="8"/>
        <v>0</v>
      </c>
      <c r="H128" s="1497">
        <f t="shared" si="9"/>
        <v>0</v>
      </c>
      <c r="I128" s="1511">
        <f t="shared" si="3"/>
        <v>0</v>
      </c>
      <c r="J128" s="1511"/>
      <c r="K128" s="1516"/>
      <c r="L128" s="1513">
        <f t="shared" si="4"/>
        <v>0</v>
      </c>
      <c r="M128" s="1516"/>
      <c r="N128" s="1513">
        <f t="shared" si="5"/>
        <v>0</v>
      </c>
      <c r="O128" s="1513">
        <f t="shared" si="6"/>
        <v>0</v>
      </c>
    </row>
    <row r="129" spans="2:15">
      <c r="B129" s="354" t="str">
        <f t="shared" si="10"/>
        <v/>
      </c>
      <c r="C129" s="1509" t="str">
        <f>IF(D98="","-",+C128+1)</f>
        <v>-</v>
      </c>
      <c r="D129" s="1514">
        <f t="shared" si="7"/>
        <v>0</v>
      </c>
      <c r="E129" s="1515">
        <f>IF(+I101&lt;F128,I101,D129)</f>
        <v>0</v>
      </c>
      <c r="F129" s="1514">
        <f t="shared" si="2"/>
        <v>0</v>
      </c>
      <c r="G129" s="1515">
        <f t="shared" si="8"/>
        <v>0</v>
      </c>
      <c r="H129" s="1497">
        <f t="shared" si="9"/>
        <v>0</v>
      </c>
      <c r="I129" s="1511">
        <f t="shared" si="3"/>
        <v>0</v>
      </c>
      <c r="J129" s="1511"/>
      <c r="K129" s="1516"/>
      <c r="L129" s="1513">
        <f t="shared" si="4"/>
        <v>0</v>
      </c>
      <c r="M129" s="1516"/>
      <c r="N129" s="1513">
        <f t="shared" si="5"/>
        <v>0</v>
      </c>
      <c r="O129" s="1513">
        <f t="shared" si="6"/>
        <v>0</v>
      </c>
    </row>
    <row r="130" spans="2:15">
      <c r="B130" s="354" t="str">
        <f t="shared" si="10"/>
        <v/>
      </c>
      <c r="C130" s="1509" t="str">
        <f>IF(D98="","-",+C129+1)</f>
        <v>-</v>
      </c>
      <c r="D130" s="1514">
        <f t="shared" si="7"/>
        <v>0</v>
      </c>
      <c r="E130" s="1515">
        <f>IF(+I101&lt;F129,I101,D130)</f>
        <v>0</v>
      </c>
      <c r="F130" s="1514">
        <f t="shared" si="2"/>
        <v>0</v>
      </c>
      <c r="G130" s="1515">
        <f t="shared" si="8"/>
        <v>0</v>
      </c>
      <c r="H130" s="1497">
        <f t="shared" si="9"/>
        <v>0</v>
      </c>
      <c r="I130" s="1511">
        <f t="shared" si="3"/>
        <v>0</v>
      </c>
      <c r="J130" s="1511"/>
      <c r="K130" s="1516"/>
      <c r="L130" s="1513">
        <f t="shared" si="4"/>
        <v>0</v>
      </c>
      <c r="M130" s="1516"/>
      <c r="N130" s="1513">
        <f t="shared" si="5"/>
        <v>0</v>
      </c>
      <c r="O130" s="1513">
        <f t="shared" si="6"/>
        <v>0</v>
      </c>
    </row>
    <row r="131" spans="2:15">
      <c r="B131" s="354" t="str">
        <f t="shared" si="10"/>
        <v/>
      </c>
      <c r="C131" s="1509" t="str">
        <f>IF(D98="","-",+C130+1)</f>
        <v>-</v>
      </c>
      <c r="D131" s="1514">
        <f t="shared" si="7"/>
        <v>0</v>
      </c>
      <c r="E131" s="1515">
        <f>IF(+I101&lt;F130,I101,D131)</f>
        <v>0</v>
      </c>
      <c r="F131" s="1514">
        <f t="shared" si="2"/>
        <v>0</v>
      </c>
      <c r="G131" s="1515">
        <f t="shared" si="8"/>
        <v>0</v>
      </c>
      <c r="H131" s="1497">
        <f t="shared" si="9"/>
        <v>0</v>
      </c>
      <c r="I131" s="1511">
        <f t="shared" si="3"/>
        <v>0</v>
      </c>
      <c r="J131" s="1511"/>
      <c r="K131" s="1516"/>
      <c r="L131" s="1513">
        <f t="shared" si="4"/>
        <v>0</v>
      </c>
      <c r="M131" s="1516"/>
      <c r="N131" s="1513">
        <f t="shared" si="5"/>
        <v>0</v>
      </c>
      <c r="O131" s="1513">
        <f t="shared" si="6"/>
        <v>0</v>
      </c>
    </row>
    <row r="132" spans="2:15">
      <c r="B132" s="354" t="str">
        <f t="shared" si="10"/>
        <v/>
      </c>
      <c r="C132" s="1509" t="str">
        <f>IF(D98="","-",+C131+1)</f>
        <v>-</v>
      </c>
      <c r="D132" s="1514">
        <f t="shared" si="7"/>
        <v>0</v>
      </c>
      <c r="E132" s="1515">
        <f>IF(+I101&lt;F131,I101,D132)</f>
        <v>0</v>
      </c>
      <c r="F132" s="1514">
        <f t="shared" si="2"/>
        <v>0</v>
      </c>
      <c r="G132" s="1515">
        <f t="shared" si="8"/>
        <v>0</v>
      </c>
      <c r="H132" s="1497">
        <f t="shared" si="9"/>
        <v>0</v>
      </c>
      <c r="I132" s="1511">
        <f t="shared" si="3"/>
        <v>0</v>
      </c>
      <c r="J132" s="1511"/>
      <c r="K132" s="1516"/>
      <c r="L132" s="1513">
        <f t="shared" si="4"/>
        <v>0</v>
      </c>
      <c r="M132" s="1516"/>
      <c r="N132" s="1513">
        <f t="shared" si="5"/>
        <v>0</v>
      </c>
      <c r="O132" s="1513">
        <f t="shared" si="6"/>
        <v>0</v>
      </c>
    </row>
    <row r="133" spans="2:15">
      <c r="B133" s="354" t="str">
        <f t="shared" si="10"/>
        <v/>
      </c>
      <c r="C133" s="1509" t="str">
        <f>IF(D98="","-",+C132+1)</f>
        <v>-</v>
      </c>
      <c r="D133" s="1514">
        <f t="shared" si="7"/>
        <v>0</v>
      </c>
      <c r="E133" s="1515">
        <f>IF(+I101&lt;F132,I101,D133)</f>
        <v>0</v>
      </c>
      <c r="F133" s="1514">
        <f t="shared" si="2"/>
        <v>0</v>
      </c>
      <c r="G133" s="1515">
        <f t="shared" si="8"/>
        <v>0</v>
      </c>
      <c r="H133" s="1497">
        <f t="shared" si="9"/>
        <v>0</v>
      </c>
      <c r="I133" s="1511">
        <f t="shared" si="3"/>
        <v>0</v>
      </c>
      <c r="J133" s="1511"/>
      <c r="K133" s="1516"/>
      <c r="L133" s="1513">
        <f t="shared" si="4"/>
        <v>0</v>
      </c>
      <c r="M133" s="1516"/>
      <c r="N133" s="1513">
        <f t="shared" si="5"/>
        <v>0</v>
      </c>
      <c r="O133" s="1513">
        <f t="shared" si="6"/>
        <v>0</v>
      </c>
    </row>
    <row r="134" spans="2:15">
      <c r="B134" s="354" t="str">
        <f t="shared" si="10"/>
        <v/>
      </c>
      <c r="C134" s="1509" t="str">
        <f>IF(D98="","-",+C133+1)</f>
        <v>-</v>
      </c>
      <c r="D134" s="1514">
        <f t="shared" si="7"/>
        <v>0</v>
      </c>
      <c r="E134" s="1515">
        <f>IF(+I101&lt;F133,I101,D134)</f>
        <v>0</v>
      </c>
      <c r="F134" s="1514">
        <f t="shared" si="2"/>
        <v>0</v>
      </c>
      <c r="G134" s="1515">
        <f t="shared" si="8"/>
        <v>0</v>
      </c>
      <c r="H134" s="1497">
        <f t="shared" si="9"/>
        <v>0</v>
      </c>
      <c r="I134" s="1511">
        <f t="shared" si="3"/>
        <v>0</v>
      </c>
      <c r="J134" s="1511"/>
      <c r="K134" s="1516"/>
      <c r="L134" s="1513">
        <f t="shared" si="4"/>
        <v>0</v>
      </c>
      <c r="M134" s="1516"/>
      <c r="N134" s="1513">
        <f t="shared" si="5"/>
        <v>0</v>
      </c>
      <c r="O134" s="1513">
        <f t="shared" si="6"/>
        <v>0</v>
      </c>
    </row>
    <row r="135" spans="2:15">
      <c r="B135" s="354" t="str">
        <f t="shared" si="10"/>
        <v/>
      </c>
      <c r="C135" s="1509" t="str">
        <f>IF(D98="","-",+C134+1)</f>
        <v>-</v>
      </c>
      <c r="D135" s="1514">
        <f t="shared" si="7"/>
        <v>0</v>
      </c>
      <c r="E135" s="1515">
        <f>IF(+I101&lt;F134,I101,D135)</f>
        <v>0</v>
      </c>
      <c r="F135" s="1514">
        <f t="shared" si="2"/>
        <v>0</v>
      </c>
      <c r="G135" s="1515">
        <f t="shared" si="8"/>
        <v>0</v>
      </c>
      <c r="H135" s="1497">
        <f t="shared" si="9"/>
        <v>0</v>
      </c>
      <c r="I135" s="1511">
        <f t="shared" si="3"/>
        <v>0</v>
      </c>
      <c r="J135" s="1511"/>
      <c r="K135" s="1516"/>
      <c r="L135" s="1513">
        <f t="shared" si="4"/>
        <v>0</v>
      </c>
      <c r="M135" s="1516"/>
      <c r="N135" s="1513">
        <f t="shared" si="5"/>
        <v>0</v>
      </c>
      <c r="O135" s="1513">
        <f t="shared" si="6"/>
        <v>0</v>
      </c>
    </row>
    <row r="136" spans="2:15">
      <c r="B136" s="354" t="str">
        <f t="shared" si="10"/>
        <v/>
      </c>
      <c r="C136" s="1509" t="str">
        <f>IF(D98="","-",+C135+1)</f>
        <v>-</v>
      </c>
      <c r="D136" s="1514">
        <f t="shared" si="7"/>
        <v>0</v>
      </c>
      <c r="E136" s="1515">
        <f>IF(+I101&lt;F135,I101,D136)</f>
        <v>0</v>
      </c>
      <c r="F136" s="1514">
        <f t="shared" si="2"/>
        <v>0</v>
      </c>
      <c r="G136" s="1515">
        <f t="shared" si="8"/>
        <v>0</v>
      </c>
      <c r="H136" s="1497">
        <f t="shared" si="9"/>
        <v>0</v>
      </c>
      <c r="I136" s="1511">
        <f t="shared" si="3"/>
        <v>0</v>
      </c>
      <c r="J136" s="1511"/>
      <c r="K136" s="1516"/>
      <c r="L136" s="1513">
        <f t="shared" si="4"/>
        <v>0</v>
      </c>
      <c r="M136" s="1516"/>
      <c r="N136" s="1513">
        <f t="shared" si="5"/>
        <v>0</v>
      </c>
      <c r="O136" s="1513">
        <f t="shared" si="6"/>
        <v>0</v>
      </c>
    </row>
    <row r="137" spans="2:15">
      <c r="B137" s="354" t="str">
        <f t="shared" si="10"/>
        <v/>
      </c>
      <c r="C137" s="1509" t="str">
        <f>IF(D98="","-",+C136+1)</f>
        <v>-</v>
      </c>
      <c r="D137" s="1514">
        <f t="shared" si="7"/>
        <v>0</v>
      </c>
      <c r="E137" s="1515">
        <f>IF(+I101&lt;F136,I101,D137)</f>
        <v>0</v>
      </c>
      <c r="F137" s="1514">
        <f t="shared" si="2"/>
        <v>0</v>
      </c>
      <c r="G137" s="1515">
        <f t="shared" si="8"/>
        <v>0</v>
      </c>
      <c r="H137" s="1497">
        <f t="shared" si="9"/>
        <v>0</v>
      </c>
      <c r="I137" s="1511">
        <f t="shared" si="3"/>
        <v>0</v>
      </c>
      <c r="J137" s="1511"/>
      <c r="K137" s="1516"/>
      <c r="L137" s="1513">
        <f t="shared" si="4"/>
        <v>0</v>
      </c>
      <c r="M137" s="1516"/>
      <c r="N137" s="1513">
        <f t="shared" si="5"/>
        <v>0</v>
      </c>
      <c r="O137" s="1513">
        <f t="shared" si="6"/>
        <v>0</v>
      </c>
    </row>
    <row r="138" spans="2:15">
      <c r="B138" s="354" t="str">
        <f t="shared" si="10"/>
        <v/>
      </c>
      <c r="C138" s="1509" t="str">
        <f>IF(D98="","-",+C137+1)</f>
        <v>-</v>
      </c>
      <c r="D138" s="1514">
        <f t="shared" si="7"/>
        <v>0</v>
      </c>
      <c r="E138" s="1515">
        <f>IF(+I101&lt;F137,I101,D138)</f>
        <v>0</v>
      </c>
      <c r="F138" s="1514">
        <f t="shared" si="2"/>
        <v>0</v>
      </c>
      <c r="G138" s="1515">
        <f t="shared" si="8"/>
        <v>0</v>
      </c>
      <c r="H138" s="1497">
        <f t="shared" si="9"/>
        <v>0</v>
      </c>
      <c r="I138" s="1511">
        <f t="shared" si="3"/>
        <v>0</v>
      </c>
      <c r="J138" s="1511"/>
      <c r="K138" s="1516"/>
      <c r="L138" s="1513">
        <f t="shared" si="4"/>
        <v>0</v>
      </c>
      <c r="M138" s="1516"/>
      <c r="N138" s="1513">
        <f t="shared" si="5"/>
        <v>0</v>
      </c>
      <c r="O138" s="1513">
        <f t="shared" si="6"/>
        <v>0</v>
      </c>
    </row>
    <row r="139" spans="2:15">
      <c r="B139" s="354" t="str">
        <f t="shared" si="10"/>
        <v/>
      </c>
      <c r="C139" s="1509" t="str">
        <f>IF(D98="","-",+C138+1)</f>
        <v>-</v>
      </c>
      <c r="D139" s="1514">
        <f t="shared" si="7"/>
        <v>0</v>
      </c>
      <c r="E139" s="1515">
        <f>IF(+I101&lt;F138,I101,D139)</f>
        <v>0</v>
      </c>
      <c r="F139" s="1514">
        <f t="shared" si="2"/>
        <v>0</v>
      </c>
      <c r="G139" s="1515">
        <f t="shared" si="8"/>
        <v>0</v>
      </c>
      <c r="H139" s="1497">
        <f t="shared" si="9"/>
        <v>0</v>
      </c>
      <c r="I139" s="1511">
        <f t="shared" si="3"/>
        <v>0</v>
      </c>
      <c r="J139" s="1511"/>
      <c r="K139" s="1516"/>
      <c r="L139" s="1513">
        <f t="shared" si="4"/>
        <v>0</v>
      </c>
      <c r="M139" s="1516"/>
      <c r="N139" s="1513">
        <f t="shared" si="5"/>
        <v>0</v>
      </c>
      <c r="O139" s="1513">
        <f t="shared" si="6"/>
        <v>0</v>
      </c>
    </row>
    <row r="140" spans="2:15">
      <c r="B140" s="354" t="str">
        <f t="shared" si="10"/>
        <v/>
      </c>
      <c r="C140" s="1509" t="str">
        <f>IF(D98="","-",+C139+1)</f>
        <v>-</v>
      </c>
      <c r="D140" s="1514">
        <f t="shared" si="7"/>
        <v>0</v>
      </c>
      <c r="E140" s="1515">
        <f>IF(+I101&lt;F139,I101,D140)</f>
        <v>0</v>
      </c>
      <c r="F140" s="1514">
        <f t="shared" si="2"/>
        <v>0</v>
      </c>
      <c r="G140" s="1515">
        <f t="shared" si="8"/>
        <v>0</v>
      </c>
      <c r="H140" s="1497">
        <f t="shared" si="9"/>
        <v>0</v>
      </c>
      <c r="I140" s="1511">
        <f t="shared" si="3"/>
        <v>0</v>
      </c>
      <c r="J140" s="1511"/>
      <c r="K140" s="1516"/>
      <c r="L140" s="1513">
        <f t="shared" si="4"/>
        <v>0</v>
      </c>
      <c r="M140" s="1516"/>
      <c r="N140" s="1513">
        <f t="shared" si="5"/>
        <v>0</v>
      </c>
      <c r="O140" s="1513">
        <f t="shared" si="6"/>
        <v>0</v>
      </c>
    </row>
    <row r="141" spans="2:15">
      <c r="B141" s="354" t="str">
        <f t="shared" si="10"/>
        <v/>
      </c>
      <c r="C141" s="1509" t="str">
        <f>IF(D98="","-",+C140+1)</f>
        <v>-</v>
      </c>
      <c r="D141" s="1514">
        <f t="shared" si="7"/>
        <v>0</v>
      </c>
      <c r="E141" s="1515">
        <f>IF(+I101&lt;F140,I101,D141)</f>
        <v>0</v>
      </c>
      <c r="F141" s="1514">
        <f t="shared" si="2"/>
        <v>0</v>
      </c>
      <c r="G141" s="1515">
        <f t="shared" si="8"/>
        <v>0</v>
      </c>
      <c r="H141" s="1497">
        <f t="shared" si="9"/>
        <v>0</v>
      </c>
      <c r="I141" s="1511">
        <f t="shared" si="3"/>
        <v>0</v>
      </c>
      <c r="J141" s="1511"/>
      <c r="K141" s="1516"/>
      <c r="L141" s="1513">
        <f t="shared" si="4"/>
        <v>0</v>
      </c>
      <c r="M141" s="1516"/>
      <c r="N141" s="1513">
        <f t="shared" si="5"/>
        <v>0</v>
      </c>
      <c r="O141" s="1513">
        <f t="shared" si="6"/>
        <v>0</v>
      </c>
    </row>
    <row r="142" spans="2:15">
      <c r="B142" s="354" t="str">
        <f t="shared" si="10"/>
        <v/>
      </c>
      <c r="C142" s="1509" t="str">
        <f>IF(D98="","-",+C141+1)</f>
        <v>-</v>
      </c>
      <c r="D142" s="1514">
        <f t="shared" si="7"/>
        <v>0</v>
      </c>
      <c r="E142" s="1515">
        <f>IF(+I101&lt;F141,I101,D142)</f>
        <v>0</v>
      </c>
      <c r="F142" s="1514">
        <f t="shared" si="2"/>
        <v>0</v>
      </c>
      <c r="G142" s="1515">
        <f t="shared" si="8"/>
        <v>0</v>
      </c>
      <c r="H142" s="1497">
        <f t="shared" si="9"/>
        <v>0</v>
      </c>
      <c r="I142" s="1511">
        <f t="shared" si="3"/>
        <v>0</v>
      </c>
      <c r="J142" s="1511"/>
      <c r="K142" s="1516"/>
      <c r="L142" s="1513">
        <f t="shared" si="4"/>
        <v>0</v>
      </c>
      <c r="M142" s="1516"/>
      <c r="N142" s="1513">
        <f t="shared" si="5"/>
        <v>0</v>
      </c>
      <c r="O142" s="1513">
        <f t="shared" si="6"/>
        <v>0</v>
      </c>
    </row>
    <row r="143" spans="2:15">
      <c r="B143" s="354" t="str">
        <f t="shared" si="10"/>
        <v/>
      </c>
      <c r="C143" s="1509" t="str">
        <f>IF(D98="","-",+C142+1)</f>
        <v>-</v>
      </c>
      <c r="D143" s="1514">
        <f t="shared" si="7"/>
        <v>0</v>
      </c>
      <c r="E143" s="1515">
        <f>IF(+I101&lt;F142,I101,D143)</f>
        <v>0</v>
      </c>
      <c r="F143" s="1514">
        <f t="shared" si="2"/>
        <v>0</v>
      </c>
      <c r="G143" s="1515">
        <f t="shared" si="8"/>
        <v>0</v>
      </c>
      <c r="H143" s="1497">
        <f t="shared" si="9"/>
        <v>0</v>
      </c>
      <c r="I143" s="1511">
        <f t="shared" si="3"/>
        <v>0</v>
      </c>
      <c r="J143" s="1511"/>
      <c r="K143" s="1516"/>
      <c r="L143" s="1513">
        <f t="shared" si="4"/>
        <v>0</v>
      </c>
      <c r="M143" s="1516"/>
      <c r="N143" s="1513">
        <f t="shared" si="5"/>
        <v>0</v>
      </c>
      <c r="O143" s="1513">
        <f t="shared" si="6"/>
        <v>0</v>
      </c>
    </row>
    <row r="144" spans="2:15">
      <c r="B144" s="354" t="str">
        <f t="shared" si="10"/>
        <v/>
      </c>
      <c r="C144" s="1509" t="str">
        <f>IF(D98="","-",+C143+1)</f>
        <v>-</v>
      </c>
      <c r="D144" s="1514">
        <f t="shared" si="7"/>
        <v>0</v>
      </c>
      <c r="E144" s="1515">
        <f>IF(+I101&lt;F143,I101,D144)</f>
        <v>0</v>
      </c>
      <c r="F144" s="1514">
        <f t="shared" si="2"/>
        <v>0</v>
      </c>
      <c r="G144" s="1515">
        <f t="shared" si="8"/>
        <v>0</v>
      </c>
      <c r="H144" s="1497">
        <f t="shared" si="9"/>
        <v>0</v>
      </c>
      <c r="I144" s="1511">
        <f t="shared" si="3"/>
        <v>0</v>
      </c>
      <c r="J144" s="1511"/>
      <c r="K144" s="1516"/>
      <c r="L144" s="1513">
        <f t="shared" si="4"/>
        <v>0</v>
      </c>
      <c r="M144" s="1516"/>
      <c r="N144" s="1513">
        <f t="shared" si="5"/>
        <v>0</v>
      </c>
      <c r="O144" s="1513">
        <f t="shared" si="6"/>
        <v>0</v>
      </c>
    </row>
    <row r="145" spans="2:15">
      <c r="B145" s="354" t="str">
        <f t="shared" si="10"/>
        <v/>
      </c>
      <c r="C145" s="1509" t="str">
        <f>IF(D98="","-",+C144+1)</f>
        <v>-</v>
      </c>
      <c r="D145" s="1514">
        <f t="shared" si="7"/>
        <v>0</v>
      </c>
      <c r="E145" s="1515">
        <f>IF(+I101&lt;F144,I101,D145)</f>
        <v>0</v>
      </c>
      <c r="F145" s="1514">
        <f t="shared" si="2"/>
        <v>0</v>
      </c>
      <c r="G145" s="1515">
        <f t="shared" si="8"/>
        <v>0</v>
      </c>
      <c r="H145" s="1497">
        <f t="shared" si="9"/>
        <v>0</v>
      </c>
      <c r="I145" s="1511">
        <f t="shared" si="3"/>
        <v>0</v>
      </c>
      <c r="J145" s="1511"/>
      <c r="K145" s="1516"/>
      <c r="L145" s="1513">
        <f t="shared" si="4"/>
        <v>0</v>
      </c>
      <c r="M145" s="1516"/>
      <c r="N145" s="1513">
        <f t="shared" si="5"/>
        <v>0</v>
      </c>
      <c r="O145" s="1513">
        <f t="shared" si="6"/>
        <v>0</v>
      </c>
    </row>
    <row r="146" spans="2:15">
      <c r="B146" s="354" t="str">
        <f t="shared" si="10"/>
        <v/>
      </c>
      <c r="C146" s="1509" t="str">
        <f>IF(D98="","-",+C145+1)</f>
        <v>-</v>
      </c>
      <c r="D146" s="1514">
        <f t="shared" si="7"/>
        <v>0</v>
      </c>
      <c r="E146" s="1515">
        <f>IF(+I101&lt;F145,I101,D146)</f>
        <v>0</v>
      </c>
      <c r="F146" s="1514">
        <f t="shared" si="2"/>
        <v>0</v>
      </c>
      <c r="G146" s="1515">
        <f t="shared" si="8"/>
        <v>0</v>
      </c>
      <c r="H146" s="1497">
        <f t="shared" si="9"/>
        <v>0</v>
      </c>
      <c r="I146" s="1511">
        <f t="shared" si="3"/>
        <v>0</v>
      </c>
      <c r="J146" s="1511"/>
      <c r="K146" s="1516"/>
      <c r="L146" s="1513">
        <f t="shared" si="4"/>
        <v>0</v>
      </c>
      <c r="M146" s="1516"/>
      <c r="N146" s="1513">
        <f t="shared" si="5"/>
        <v>0</v>
      </c>
      <c r="O146" s="1513">
        <f t="shared" si="6"/>
        <v>0</v>
      </c>
    </row>
    <row r="147" spans="2:15">
      <c r="B147" s="354" t="str">
        <f t="shared" si="10"/>
        <v/>
      </c>
      <c r="C147" s="1509" t="str">
        <f>IF(D98="","-",+C146+1)</f>
        <v>-</v>
      </c>
      <c r="D147" s="1514">
        <f t="shared" si="7"/>
        <v>0</v>
      </c>
      <c r="E147" s="1515">
        <f>IF(+I101&lt;F146,I101,D147)</f>
        <v>0</v>
      </c>
      <c r="F147" s="1514">
        <f t="shared" si="2"/>
        <v>0</v>
      </c>
      <c r="G147" s="1515">
        <f t="shared" si="8"/>
        <v>0</v>
      </c>
      <c r="H147" s="1497">
        <f t="shared" si="9"/>
        <v>0</v>
      </c>
      <c r="I147" s="1511">
        <f t="shared" si="3"/>
        <v>0</v>
      </c>
      <c r="J147" s="1511"/>
      <c r="K147" s="1516"/>
      <c r="L147" s="1513">
        <f t="shared" si="4"/>
        <v>0</v>
      </c>
      <c r="M147" s="1516"/>
      <c r="N147" s="1513">
        <f t="shared" si="5"/>
        <v>0</v>
      </c>
      <c r="O147" s="1513">
        <f t="shared" si="6"/>
        <v>0</v>
      </c>
    </row>
    <row r="148" spans="2:15">
      <c r="B148" s="354" t="str">
        <f t="shared" si="10"/>
        <v/>
      </c>
      <c r="C148" s="1509" t="str">
        <f>IF(D98="","-",+C147+1)</f>
        <v>-</v>
      </c>
      <c r="D148" s="1514">
        <f t="shared" si="7"/>
        <v>0</v>
      </c>
      <c r="E148" s="1515">
        <f>IF(+I101&lt;F147,I101,D148)</f>
        <v>0</v>
      </c>
      <c r="F148" s="1514">
        <f t="shared" si="2"/>
        <v>0</v>
      </c>
      <c r="G148" s="1517">
        <f t="shared" si="8"/>
        <v>0</v>
      </c>
      <c r="H148" s="1497">
        <f t="shared" si="9"/>
        <v>0</v>
      </c>
      <c r="I148" s="1511">
        <f t="shared" si="3"/>
        <v>0</v>
      </c>
      <c r="J148" s="1511"/>
      <c r="K148" s="1516"/>
      <c r="L148" s="1513">
        <f t="shared" si="4"/>
        <v>0</v>
      </c>
      <c r="M148" s="1516"/>
      <c r="N148" s="1513">
        <f t="shared" si="5"/>
        <v>0</v>
      </c>
      <c r="O148" s="1513">
        <f t="shared" si="6"/>
        <v>0</v>
      </c>
    </row>
    <row r="149" spans="2:15">
      <c r="B149" s="354" t="str">
        <f t="shared" si="10"/>
        <v/>
      </c>
      <c r="C149" s="1509" t="str">
        <f>IF(D98="","-",+C148+1)</f>
        <v>-</v>
      </c>
      <c r="D149" s="1514">
        <f t="shared" si="7"/>
        <v>0</v>
      </c>
      <c r="E149" s="1515">
        <f>IF(+I101&lt;F148,I101,D149)</f>
        <v>0</v>
      </c>
      <c r="F149" s="1514">
        <f t="shared" si="2"/>
        <v>0</v>
      </c>
      <c r="G149" s="1517">
        <f t="shared" si="8"/>
        <v>0</v>
      </c>
      <c r="H149" s="1497">
        <f t="shared" si="9"/>
        <v>0</v>
      </c>
      <c r="I149" s="1511">
        <f t="shared" si="3"/>
        <v>0</v>
      </c>
      <c r="J149" s="1511"/>
      <c r="K149" s="1516"/>
      <c r="L149" s="1513">
        <f t="shared" si="4"/>
        <v>0</v>
      </c>
      <c r="M149" s="1516"/>
      <c r="N149" s="1513">
        <f t="shared" si="5"/>
        <v>0</v>
      </c>
      <c r="O149" s="1513">
        <f t="shared" si="6"/>
        <v>0</v>
      </c>
    </row>
    <row r="150" spans="2:15">
      <c r="B150" s="354" t="str">
        <f t="shared" si="10"/>
        <v/>
      </c>
      <c r="C150" s="1509" t="str">
        <f>IF(D98="","-",+C149+1)</f>
        <v>-</v>
      </c>
      <c r="D150" s="1514">
        <f t="shared" si="7"/>
        <v>0</v>
      </c>
      <c r="E150" s="1515">
        <f>IF(+I101&lt;F149,I101,D150)</f>
        <v>0</v>
      </c>
      <c r="F150" s="1514">
        <f t="shared" si="2"/>
        <v>0</v>
      </c>
      <c r="G150" s="1517">
        <f t="shared" si="8"/>
        <v>0</v>
      </c>
      <c r="H150" s="1497">
        <f t="shared" si="9"/>
        <v>0</v>
      </c>
      <c r="I150" s="1511">
        <f t="shared" si="3"/>
        <v>0</v>
      </c>
      <c r="J150" s="1511"/>
      <c r="K150" s="1516"/>
      <c r="L150" s="1513">
        <f t="shared" si="4"/>
        <v>0</v>
      </c>
      <c r="M150" s="1516"/>
      <c r="N150" s="1513">
        <f t="shared" si="5"/>
        <v>0</v>
      </c>
      <c r="O150" s="1513">
        <f t="shared" si="6"/>
        <v>0</v>
      </c>
    </row>
    <row r="151" spans="2:15">
      <c r="B151" s="354" t="str">
        <f t="shared" si="10"/>
        <v/>
      </c>
      <c r="C151" s="1509" t="str">
        <f>IF(D98="","-",+C150+1)</f>
        <v>-</v>
      </c>
      <c r="D151" s="1514">
        <f t="shared" si="7"/>
        <v>0</v>
      </c>
      <c r="E151" s="1515">
        <f>IF(+I101&lt;F150,I101,D151)</f>
        <v>0</v>
      </c>
      <c r="F151" s="1514">
        <f t="shared" si="2"/>
        <v>0</v>
      </c>
      <c r="G151" s="1517">
        <f t="shared" si="8"/>
        <v>0</v>
      </c>
      <c r="H151" s="1497">
        <f t="shared" si="9"/>
        <v>0</v>
      </c>
      <c r="I151" s="1511">
        <f t="shared" si="3"/>
        <v>0</v>
      </c>
      <c r="J151" s="1511"/>
      <c r="K151" s="1516"/>
      <c r="L151" s="1513">
        <f t="shared" si="4"/>
        <v>0</v>
      </c>
      <c r="M151" s="1516"/>
      <c r="N151" s="1513">
        <f t="shared" si="5"/>
        <v>0</v>
      </c>
      <c r="O151" s="1513">
        <f t="shared" si="6"/>
        <v>0</v>
      </c>
    </row>
    <row r="152" spans="2:15">
      <c r="B152" s="354" t="str">
        <f t="shared" si="10"/>
        <v/>
      </c>
      <c r="C152" s="1509" t="str">
        <f>IF(D98="","-",+C151+1)</f>
        <v>-</v>
      </c>
      <c r="D152" s="1514">
        <f t="shared" si="7"/>
        <v>0</v>
      </c>
      <c r="E152" s="1515">
        <f>IF(+I101&lt;F151,I101,D152)</f>
        <v>0</v>
      </c>
      <c r="F152" s="1514">
        <f t="shared" si="2"/>
        <v>0</v>
      </c>
      <c r="G152" s="1517">
        <f t="shared" si="8"/>
        <v>0</v>
      </c>
      <c r="H152" s="1497">
        <f t="shared" si="9"/>
        <v>0</v>
      </c>
      <c r="I152" s="1511">
        <f t="shared" si="3"/>
        <v>0</v>
      </c>
      <c r="J152" s="1511"/>
      <c r="K152" s="1516"/>
      <c r="L152" s="1513">
        <f t="shared" si="4"/>
        <v>0</v>
      </c>
      <c r="M152" s="1516"/>
      <c r="N152" s="1513">
        <f t="shared" si="5"/>
        <v>0</v>
      </c>
      <c r="O152" s="1513">
        <f t="shared" si="6"/>
        <v>0</v>
      </c>
    </row>
    <row r="153" spans="2:15">
      <c r="B153" s="354" t="str">
        <f t="shared" si="10"/>
        <v/>
      </c>
      <c r="C153" s="1509" t="str">
        <f>IF(D98="","-",+C152+1)</f>
        <v>-</v>
      </c>
      <c r="D153" s="1514">
        <f t="shared" si="7"/>
        <v>0</v>
      </c>
      <c r="E153" s="1515">
        <f>IF(+I101&lt;F152,I101,D153)</f>
        <v>0</v>
      </c>
      <c r="F153" s="1514">
        <f t="shared" si="2"/>
        <v>0</v>
      </c>
      <c r="G153" s="1517">
        <f t="shared" si="8"/>
        <v>0</v>
      </c>
      <c r="H153" s="1497">
        <f t="shared" si="9"/>
        <v>0</v>
      </c>
      <c r="I153" s="1511">
        <f t="shared" si="3"/>
        <v>0</v>
      </c>
      <c r="J153" s="1511"/>
      <c r="K153" s="1516"/>
      <c r="L153" s="1513">
        <f t="shared" si="4"/>
        <v>0</v>
      </c>
      <c r="M153" s="1516"/>
      <c r="N153" s="1513">
        <f t="shared" si="5"/>
        <v>0</v>
      </c>
      <c r="O153" s="1513">
        <f t="shared" si="6"/>
        <v>0</v>
      </c>
    </row>
    <row r="154" spans="2:15">
      <c r="B154" s="354" t="str">
        <f t="shared" si="10"/>
        <v/>
      </c>
      <c r="C154" s="1509" t="str">
        <f>IF(D98="","-",+C153+1)</f>
        <v>-</v>
      </c>
      <c r="D154" s="1514">
        <f t="shared" si="7"/>
        <v>0</v>
      </c>
      <c r="E154" s="1515">
        <f>IF(+I101&lt;F153,I101,D154)</f>
        <v>0</v>
      </c>
      <c r="F154" s="1514">
        <f t="shared" si="2"/>
        <v>0</v>
      </c>
      <c r="G154" s="1517">
        <f t="shared" si="8"/>
        <v>0</v>
      </c>
      <c r="H154" s="1497">
        <f t="shared" si="9"/>
        <v>0</v>
      </c>
      <c r="I154" s="1511">
        <f t="shared" si="3"/>
        <v>0</v>
      </c>
      <c r="J154" s="1511"/>
      <c r="K154" s="1516"/>
      <c r="L154" s="1513">
        <f t="shared" si="4"/>
        <v>0</v>
      </c>
      <c r="M154" s="1516"/>
      <c r="N154" s="1513">
        <f t="shared" si="5"/>
        <v>0</v>
      </c>
      <c r="O154" s="1513">
        <f t="shared" si="6"/>
        <v>0</v>
      </c>
    </row>
    <row r="155" spans="2:15">
      <c r="B155" s="354" t="str">
        <f t="shared" si="10"/>
        <v/>
      </c>
      <c r="C155" s="1509" t="str">
        <f>IF(D98="","-",+C154+1)</f>
        <v>-</v>
      </c>
      <c r="D155" s="1514">
        <f t="shared" si="7"/>
        <v>0</v>
      </c>
      <c r="E155" s="1515">
        <f>IF(+I101&lt;F154,I101,D155)</f>
        <v>0</v>
      </c>
      <c r="F155" s="1514">
        <f t="shared" si="2"/>
        <v>0</v>
      </c>
      <c r="G155" s="1517">
        <f t="shared" si="8"/>
        <v>0</v>
      </c>
      <c r="H155" s="1497">
        <f t="shared" si="9"/>
        <v>0</v>
      </c>
      <c r="I155" s="1511">
        <f t="shared" si="3"/>
        <v>0</v>
      </c>
      <c r="J155" s="1511"/>
      <c r="K155" s="1516"/>
      <c r="L155" s="1513">
        <f t="shared" si="4"/>
        <v>0</v>
      </c>
      <c r="M155" s="1516"/>
      <c r="N155" s="1513">
        <f t="shared" si="5"/>
        <v>0</v>
      </c>
      <c r="O155" s="1513">
        <f t="shared" si="6"/>
        <v>0</v>
      </c>
    </row>
    <row r="156" spans="2:15">
      <c r="B156" s="354" t="str">
        <f t="shared" si="10"/>
        <v/>
      </c>
      <c r="C156" s="1509" t="str">
        <f>IF(D98="","-",+C155+1)</f>
        <v>-</v>
      </c>
      <c r="D156" s="1514">
        <f t="shared" si="7"/>
        <v>0</v>
      </c>
      <c r="E156" s="1515">
        <f>IF(+I101&lt;F155,I101,D156)</f>
        <v>0</v>
      </c>
      <c r="F156" s="1514">
        <f t="shared" si="2"/>
        <v>0</v>
      </c>
      <c r="G156" s="1517">
        <f t="shared" si="8"/>
        <v>0</v>
      </c>
      <c r="H156" s="1497">
        <f t="shared" si="9"/>
        <v>0</v>
      </c>
      <c r="I156" s="1511">
        <f t="shared" si="3"/>
        <v>0</v>
      </c>
      <c r="J156" s="1511"/>
      <c r="K156" s="1516"/>
      <c r="L156" s="1513">
        <f t="shared" si="4"/>
        <v>0</v>
      </c>
      <c r="M156" s="1516"/>
      <c r="N156" s="1513">
        <f t="shared" si="5"/>
        <v>0</v>
      </c>
      <c r="O156" s="1513">
        <f t="shared" si="6"/>
        <v>0</v>
      </c>
    </row>
    <row r="157" spans="2:15">
      <c r="B157" s="354" t="str">
        <f t="shared" si="10"/>
        <v/>
      </c>
      <c r="C157" s="1509" t="str">
        <f>IF(D98="","-",+C156+1)</f>
        <v>-</v>
      </c>
      <c r="D157" s="1514">
        <f t="shared" si="7"/>
        <v>0</v>
      </c>
      <c r="E157" s="1515">
        <f>IF(+I101&lt;F156,I101,D157)</f>
        <v>0</v>
      </c>
      <c r="F157" s="1514">
        <f t="shared" si="2"/>
        <v>0</v>
      </c>
      <c r="G157" s="1517">
        <f t="shared" si="8"/>
        <v>0</v>
      </c>
      <c r="H157" s="1497">
        <f t="shared" si="9"/>
        <v>0</v>
      </c>
      <c r="I157" s="1511">
        <f t="shared" si="3"/>
        <v>0</v>
      </c>
      <c r="J157" s="1511"/>
      <c r="K157" s="1516"/>
      <c r="L157" s="1513">
        <f t="shared" si="4"/>
        <v>0</v>
      </c>
      <c r="M157" s="1516"/>
      <c r="N157" s="1513">
        <f t="shared" si="5"/>
        <v>0</v>
      </c>
      <c r="O157" s="1513">
        <f t="shared" si="6"/>
        <v>0</v>
      </c>
    </row>
    <row r="158" spans="2:15">
      <c r="B158" s="354" t="str">
        <f t="shared" si="10"/>
        <v/>
      </c>
      <c r="C158" s="1509" t="str">
        <f>IF(D98="","-",+C157+1)</f>
        <v>-</v>
      </c>
      <c r="D158" s="1514">
        <f t="shared" si="7"/>
        <v>0</v>
      </c>
      <c r="E158" s="1515">
        <f>IF(+I101&lt;F157,I101,D158)</f>
        <v>0</v>
      </c>
      <c r="F158" s="1514">
        <f t="shared" si="2"/>
        <v>0</v>
      </c>
      <c r="G158" s="1517">
        <f t="shared" si="8"/>
        <v>0</v>
      </c>
      <c r="H158" s="1497">
        <f t="shared" si="9"/>
        <v>0</v>
      </c>
      <c r="I158" s="1511">
        <f t="shared" si="3"/>
        <v>0</v>
      </c>
      <c r="J158" s="1511"/>
      <c r="K158" s="1516"/>
      <c r="L158" s="1513">
        <f t="shared" si="4"/>
        <v>0</v>
      </c>
      <c r="M158" s="1516"/>
      <c r="N158" s="1513">
        <f t="shared" si="5"/>
        <v>0</v>
      </c>
      <c r="O158" s="1513">
        <f t="shared" si="6"/>
        <v>0</v>
      </c>
    </row>
    <row r="159" spans="2:15" ht="13" thickBot="1">
      <c r="B159" s="354" t="str">
        <f t="shared" si="10"/>
        <v/>
      </c>
      <c r="C159" s="1518" t="str">
        <f>IF(D98="","-",+C158+1)</f>
        <v>-</v>
      </c>
      <c r="D159" s="1519">
        <f t="shared" si="7"/>
        <v>0</v>
      </c>
      <c r="E159" s="1520">
        <f>IF(+I101&lt;F158,I101,D159)</f>
        <v>0</v>
      </c>
      <c r="F159" s="1519">
        <f t="shared" si="2"/>
        <v>0</v>
      </c>
      <c r="G159" s="1521">
        <f t="shared" si="8"/>
        <v>0</v>
      </c>
      <c r="H159" s="1489">
        <f t="shared" si="9"/>
        <v>0</v>
      </c>
      <c r="I159" s="1447">
        <f t="shared" si="3"/>
        <v>0</v>
      </c>
      <c r="J159" s="1511"/>
      <c r="K159" s="1522"/>
      <c r="L159" s="1523">
        <f t="shared" si="4"/>
        <v>0</v>
      </c>
      <c r="M159" s="1522"/>
      <c r="N159" s="1523">
        <f t="shared" si="5"/>
        <v>0</v>
      </c>
      <c r="O159" s="1523">
        <f t="shared" si="6"/>
        <v>0</v>
      </c>
    </row>
    <row r="160" spans="2:15">
      <c r="C160" s="1350" t="s">
        <v>476</v>
      </c>
      <c r="D160" s="1479"/>
      <c r="E160" s="1479">
        <f>SUM(E104:E159)</f>
        <v>0</v>
      </c>
      <c r="F160" s="1479"/>
      <c r="G160" s="1479">
        <f>SUM(G104:G159)</f>
        <v>0</v>
      </c>
      <c r="H160" s="1479">
        <f>SUM(H104:H159)</f>
        <v>0</v>
      </c>
      <c r="I160" s="1479">
        <f>SUM(I104:I159)</f>
        <v>0</v>
      </c>
      <c r="J160" s="1479"/>
      <c r="K160" s="1479"/>
      <c r="L160" s="1479"/>
      <c r="M160" s="1479"/>
      <c r="N160" s="1479"/>
    </row>
    <row r="161" spans="3:16">
      <c r="H161" s="1478"/>
      <c r="I161" s="1478"/>
      <c r="J161" s="1479"/>
      <c r="K161" s="1478"/>
      <c r="L161" s="1478"/>
      <c r="M161" s="1478"/>
      <c r="N161" s="1478"/>
    </row>
    <row r="162" spans="3:16" ht="13">
      <c r="C162" s="561" t="s">
        <v>659</v>
      </c>
      <c r="H162" s="1478"/>
      <c r="I162" s="1478"/>
      <c r="J162" s="1479"/>
      <c r="K162" s="1478"/>
      <c r="L162" s="1478"/>
      <c r="M162" s="1478"/>
      <c r="N162" s="1478"/>
    </row>
    <row r="163" spans="3:16" ht="13">
      <c r="C163" s="561" t="s">
        <v>477</v>
      </c>
      <c r="H163" s="1478"/>
      <c r="I163" s="1478"/>
      <c r="J163" s="1479"/>
      <c r="K163" s="1478"/>
      <c r="L163" s="1478"/>
      <c r="M163" s="1478"/>
      <c r="N163" s="1478"/>
    </row>
    <row r="164" spans="3:16" ht="13">
      <c r="C164" s="561" t="s">
        <v>478</v>
      </c>
      <c r="D164" s="1350"/>
      <c r="E164" s="1350"/>
      <c r="F164" s="1350"/>
      <c r="G164" s="1479"/>
      <c r="H164" s="1479"/>
      <c r="I164" s="1414"/>
      <c r="J164" s="1414"/>
      <c r="K164" s="1414"/>
      <c r="L164" s="1414"/>
      <c r="M164" s="1414"/>
      <c r="N164" s="1414"/>
    </row>
    <row r="165" spans="3:16" ht="13">
      <c r="C165" s="561"/>
      <c r="D165" s="1350"/>
      <c r="E165" s="1350"/>
      <c r="F165" s="1350"/>
      <c r="G165" s="1479"/>
      <c r="H165" s="1479"/>
      <c r="I165" s="1414"/>
      <c r="J165" s="1414"/>
      <c r="K165" s="1414"/>
      <c r="L165" s="1414"/>
      <c r="M165" s="1414"/>
      <c r="N165" s="1414"/>
    </row>
    <row r="166" spans="3:16">
      <c r="F166" s="1350"/>
      <c r="H166" s="1478"/>
      <c r="I166" s="286"/>
    </row>
    <row r="167" spans="3:16" ht="17.5">
      <c r="C167" s="1410"/>
      <c r="F167" s="1350"/>
      <c r="H167" s="1478"/>
      <c r="I167" s="286"/>
      <c r="P167" s="1089"/>
    </row>
  </sheetData>
  <mergeCells count="8">
    <mergeCell ref="J10:N10"/>
    <mergeCell ref="J12:N14"/>
    <mergeCell ref="A2:I2"/>
    <mergeCell ref="A3:I3"/>
    <mergeCell ref="A4:I4"/>
    <mergeCell ref="A5:I5"/>
    <mergeCell ref="C7:I7"/>
    <mergeCell ref="J7:N9"/>
  </mergeCells>
  <conditionalFormatting sqref="C104:C159">
    <cfRule type="cellIs" dxfId="1"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F
Page: &amp;P of &amp;N&amp;16
</oddHeader>
    <oddFooter xml:space="preserve">&amp;C &amp;R </oddFooter>
  </headerFooter>
  <rowBreaks count="1" manualBreakCount="1">
    <brk id="87" max="14"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U166"/>
  <sheetViews>
    <sheetView topLeftCell="F10" zoomScale="70" zoomScaleNormal="70" zoomScaleSheetLayoutView="75" workbookViewId="0">
      <selection activeCell="R25" sqref="R25"/>
    </sheetView>
  </sheetViews>
  <sheetFormatPr defaultColWidth="8.81640625" defaultRowHeight="12.5"/>
  <cols>
    <col min="1" max="1" width="9.453125" style="286" customWidth="1"/>
    <col min="2" max="2" width="6.54296875" style="286" customWidth="1"/>
    <col min="3" max="3" width="26.54296875" style="286" customWidth="1"/>
    <col min="4" max="4" width="17.54296875" style="354" customWidth="1"/>
    <col min="5" max="5" width="21.54296875" style="286" customWidth="1"/>
    <col min="6" max="8" width="17.54296875" style="286" customWidth="1"/>
    <col min="9" max="9" width="19.54296875" style="1337" customWidth="1"/>
    <col min="10" max="10" width="20.453125" style="1337" customWidth="1"/>
    <col min="11" max="11" width="13.54296875" style="1337" customWidth="1"/>
    <col min="12" max="13" width="17.54296875" style="286" customWidth="1"/>
    <col min="14" max="14" width="19.453125" style="286" customWidth="1"/>
    <col min="15" max="15" width="18.453125" style="286" customWidth="1"/>
    <col min="16" max="16" width="19.54296875" style="286" customWidth="1"/>
    <col min="17" max="17" width="2.1796875" style="286" customWidth="1"/>
    <col min="18" max="18" width="16.453125" style="286" customWidth="1"/>
    <col min="19" max="19" width="57.81640625" style="286" bestFit="1" customWidth="1"/>
    <col min="20" max="20" width="17.1796875" style="286" customWidth="1"/>
    <col min="21" max="16384" width="8.81640625" style="286"/>
  </cols>
  <sheetData>
    <row r="1" spans="1:20" ht="15.5">
      <c r="A1" s="206"/>
    </row>
    <row r="2" spans="1:20" ht="17.5">
      <c r="A2" s="2405" t="str">
        <f>'SWEPCO TCOS'!F4</f>
        <v xml:space="preserve">AEP West SPP Member Operating Companies </v>
      </c>
      <c r="B2" s="2405"/>
      <c r="C2" s="2405"/>
      <c r="D2" s="2405"/>
      <c r="E2" s="2405"/>
      <c r="F2" s="2405"/>
      <c r="G2" s="2405"/>
      <c r="H2" s="2405"/>
      <c r="I2" s="2405"/>
      <c r="J2" s="1090"/>
      <c r="K2" s="1090"/>
    </row>
    <row r="3" spans="1:20" ht="17.5">
      <c r="A3" s="2410" t="str">
        <f>+'SWEPCO WS A-1 - Plant'!A3</f>
        <v xml:space="preserve">Actual / Projected 2024 Rate Year Cost of Service Formula Rate </v>
      </c>
      <c r="B3" s="2405"/>
      <c r="C3" s="2405"/>
      <c r="D3" s="2405"/>
      <c r="E3" s="2405"/>
      <c r="F3" s="2405"/>
      <c r="G3" s="2405"/>
      <c r="H3" s="2405"/>
      <c r="I3" s="2405"/>
      <c r="J3" s="1524"/>
      <c r="K3" s="1524"/>
    </row>
    <row r="4" spans="1:20" ht="18">
      <c r="A4" s="2405" t="s">
        <v>661</v>
      </c>
      <c r="B4" s="2405"/>
      <c r="C4" s="2405"/>
      <c r="D4" s="2405"/>
      <c r="E4" s="2405"/>
      <c r="F4" s="2405"/>
      <c r="G4" s="2405"/>
      <c r="H4" s="2405"/>
      <c r="I4" s="2405"/>
      <c r="J4" s="1524"/>
      <c r="K4" s="1524"/>
    </row>
    <row r="5" spans="1:20" ht="18">
      <c r="A5" s="2291" t="str">
        <f>+'SWEPCO TCOS'!F8</f>
        <v>SOUTHWESTERN ELECTRIC POWER COMPANY</v>
      </c>
      <c r="B5" s="2291"/>
      <c r="C5" s="2291"/>
      <c r="D5" s="2291"/>
      <c r="E5" s="2291"/>
      <c r="F5" s="2291"/>
      <c r="G5" s="2291"/>
      <c r="H5" s="2291"/>
      <c r="I5" s="2291"/>
      <c r="J5" s="88"/>
      <c r="K5" s="88"/>
    </row>
    <row r="7" spans="1:20" ht="35.25" customHeight="1">
      <c r="A7" s="1415" t="s">
        <v>308</v>
      </c>
      <c r="B7" s="929" t="s">
        <v>310</v>
      </c>
      <c r="C7" s="2347" t="str">
        <f>"Calculate Return and Income Taxes with "&amp;F12&amp;" basis point ROE increase for Projects Qualified for Incentive."</f>
        <v>Calculate Return and Income Taxes with 0 basis point ROE increase for Projects Qualified for Incentive.</v>
      </c>
      <c r="D7" s="2406"/>
      <c r="E7" s="2406"/>
      <c r="F7" s="2406"/>
      <c r="G7" s="2406"/>
      <c r="H7" s="2406"/>
      <c r="I7" s="2406"/>
      <c r="J7" s="626"/>
      <c r="K7" s="626"/>
      <c r="L7" s="2407" t="s">
        <v>430</v>
      </c>
      <c r="M7" s="2407"/>
      <c r="N7" s="2407"/>
      <c r="O7" s="2407"/>
      <c r="P7" s="2407"/>
      <c r="R7" s="928" t="s">
        <v>499</v>
      </c>
    </row>
    <row r="8" spans="1:20" ht="15.75" customHeight="1">
      <c r="A8" s="1415" t="s">
        <v>246</v>
      </c>
      <c r="C8" s="626"/>
      <c r="D8" s="626"/>
      <c r="E8" s="626"/>
      <c r="F8" s="626"/>
      <c r="G8" s="626"/>
      <c r="H8" s="626"/>
      <c r="I8" s="626"/>
      <c r="J8" s="626"/>
      <c r="K8" s="626"/>
      <c r="L8" s="2407"/>
      <c r="M8" s="2407"/>
      <c r="N8" s="2407"/>
      <c r="O8" s="2407"/>
      <c r="P8" s="2407"/>
    </row>
    <row r="9" spans="1:20" ht="15.5">
      <c r="C9" s="931" t="str">
        <f>"A.   Determine 'R' with hypothetical "&amp;F12&amp;" basis point increase in ROE for Identified Projects"</f>
        <v>A.   Determine 'R' with hypothetical 0 basis point increase in ROE for Identified Projects</v>
      </c>
      <c r="L9" s="2407"/>
      <c r="M9" s="2407"/>
      <c r="N9" s="2407"/>
      <c r="O9" s="2407"/>
      <c r="P9" s="2407"/>
      <c r="S9" s="286" t="s">
        <v>166</v>
      </c>
    </row>
    <row r="10" spans="1:20" ht="18" customHeight="1">
      <c r="L10" s="2407"/>
      <c r="M10" s="2407"/>
      <c r="N10" s="2407"/>
      <c r="O10" s="2407"/>
      <c r="P10" s="2407"/>
      <c r="R10" s="932" t="s">
        <v>160</v>
      </c>
      <c r="S10" s="928" t="s">
        <v>339</v>
      </c>
    </row>
    <row r="11" spans="1:20" ht="13.5" thickBot="1">
      <c r="A11" s="354">
        <v>1</v>
      </c>
      <c r="C11" s="270" t="str">
        <f>"   ROE w/o incentives  (TCOS, ln "&amp;'SWEPCO TCOS'!B237&amp;")"</f>
        <v xml:space="preserve">   ROE w/o incentives  (TCOS, ln 143)</v>
      </c>
      <c r="E11" s="1416"/>
      <c r="F11" s="1417">
        <f>+'SWEPCO TCOS'!J237</f>
        <v>0.105</v>
      </c>
      <c r="G11" s="1417"/>
      <c r="H11" s="1418"/>
      <c r="I11" s="641"/>
      <c r="J11" s="641"/>
      <c r="K11" s="641"/>
      <c r="L11" s="626"/>
      <c r="M11" s="626"/>
      <c r="N11" s="626"/>
      <c r="O11" s="626"/>
      <c r="P11" s="626"/>
      <c r="Q11" s="1419"/>
      <c r="R11" s="928" t="s">
        <v>433</v>
      </c>
      <c r="T11" s="561"/>
    </row>
    <row r="12" spans="1:20" ht="14">
      <c r="A12" s="354">
        <f>+A11+1</f>
        <v>2</v>
      </c>
      <c r="C12" s="270" t="s">
        <v>148</v>
      </c>
      <c r="E12" s="1416"/>
      <c r="F12" s="940">
        <v>0</v>
      </c>
      <c r="G12" s="1422" t="s">
        <v>338</v>
      </c>
      <c r="I12" s="286"/>
      <c r="J12" s="286"/>
      <c r="K12" s="286"/>
      <c r="L12" s="1419"/>
      <c r="M12" s="1419"/>
      <c r="N12" s="1419"/>
      <c r="O12" s="1419"/>
      <c r="P12" s="1419"/>
      <c r="Q12" s="1419"/>
      <c r="R12" s="1420" t="s">
        <v>497</v>
      </c>
      <c r="S12" s="1421" t="s">
        <v>87</v>
      </c>
      <c r="T12"/>
    </row>
    <row r="13" spans="1:20" ht="13.5" thickBot="1">
      <c r="A13" s="354">
        <f>+A12+1</f>
        <v>3</v>
      </c>
      <c r="C13" s="270" t="str">
        <f>"   ROE with additional "&amp;F12&amp;" basis point incentive"</f>
        <v xml:space="preserve">   ROE with additional 0 basis point incentive</v>
      </c>
      <c r="D13" s="1416"/>
      <c r="E13" s="1416"/>
      <c r="F13" s="1425">
        <f>IF((F11+(F12/10000)&gt;0.1245),"ERROR",F11+(F12/10000))</f>
        <v>0.105</v>
      </c>
      <c r="G13" s="944" t="s">
        <v>660</v>
      </c>
      <c r="I13" s="1419"/>
      <c r="J13" s="1419"/>
      <c r="K13" s="1419"/>
      <c r="Q13" s="1419"/>
      <c r="R13" s="1802">
        <f>+M17</f>
        <v>2024</v>
      </c>
      <c r="S13" s="1424" t="s">
        <v>127</v>
      </c>
      <c r="T13"/>
    </row>
    <row r="14" spans="1:20">
      <c r="A14" s="354">
        <f t="shared" ref="A14:A46" si="0">+A13+1</f>
        <v>4</v>
      </c>
      <c r="C14" s="1426" t="str">
        <f>"   Determine R  (cost of long term debt, cost of preferred stock and percent is from TCOS, lns "&amp;'SWEPCO TCOS'!B235&amp;" through "&amp;'SWEPCO TCOS'!B237&amp;")"</f>
        <v xml:space="preserve">   Determine R  (cost of long term debt, cost of preferred stock and percent is from TCOS, lns 141 through 143)</v>
      </c>
      <c r="E14" s="1416"/>
      <c r="F14" s="1425"/>
      <c r="G14" s="1425"/>
      <c r="H14" s="1416"/>
      <c r="I14" s="1419"/>
      <c r="J14" s="1419"/>
      <c r="K14" s="1419"/>
      <c r="L14" s="2348" t="s">
        <v>385</v>
      </c>
      <c r="M14" s="2349"/>
      <c r="N14" s="2349"/>
      <c r="O14" s="2349"/>
      <c r="P14" s="2350"/>
      <c r="Q14" s="1419"/>
      <c r="R14" s="1525">
        <f>+'SWEPCO TCOS'!J237</f>
        <v>0.105</v>
      </c>
      <c r="S14" s="1424" t="str">
        <f>+C11</f>
        <v xml:space="preserve">   ROE w/o incentives  (TCOS, ln 143)</v>
      </c>
      <c r="T14"/>
    </row>
    <row r="15" spans="1:20" ht="16.5" customHeight="1">
      <c r="A15" s="354">
        <f t="shared" si="0"/>
        <v>5</v>
      </c>
      <c r="C15" s="1419"/>
      <c r="D15" s="948" t="s">
        <v>285</v>
      </c>
      <c r="E15" s="948" t="s">
        <v>284</v>
      </c>
      <c r="F15" s="949" t="s">
        <v>370</v>
      </c>
      <c r="G15" s="949"/>
      <c r="H15" s="1416"/>
      <c r="I15" s="1419"/>
      <c r="J15" s="1419"/>
      <c r="K15" s="1419"/>
      <c r="L15" s="2351"/>
      <c r="M15" s="2352"/>
      <c r="N15" s="2352"/>
      <c r="O15" s="2352"/>
      <c r="P15" s="2353"/>
      <c r="Q15" s="1419"/>
      <c r="R15" s="1427">
        <v>0</v>
      </c>
      <c r="S15" s="1424" t="str">
        <f>+C12</f>
        <v xml:space="preserve">   Project ROE Incentive Adder (Enter as whole number)</v>
      </c>
      <c r="T15"/>
    </row>
    <row r="16" spans="1:20">
      <c r="A16" s="354">
        <f t="shared" si="0"/>
        <v>6</v>
      </c>
      <c r="C16" s="1429" t="s">
        <v>373</v>
      </c>
      <c r="D16" s="1430">
        <f>'SWEPCO TCOS'!G235</f>
        <v>0.49413164329920617</v>
      </c>
      <c r="E16" s="1431">
        <f>+'SWEPCO TCOS'!J235</f>
        <v>3.8138735926530609E-2</v>
      </c>
      <c r="F16" s="1432">
        <f>E16*D16</f>
        <v>1.8845556256731042E-2</v>
      </c>
      <c r="G16" s="1433"/>
      <c r="H16" s="1416"/>
      <c r="I16" s="1419"/>
      <c r="J16" s="1419"/>
      <c r="K16" s="1419"/>
      <c r="L16" s="1438"/>
      <c r="M16" s="1419"/>
      <c r="N16" s="1419" t="s">
        <v>371</v>
      </c>
      <c r="O16" s="1419" t="s">
        <v>432</v>
      </c>
      <c r="P16" s="1439" t="s">
        <v>372</v>
      </c>
      <c r="Q16" s="1436"/>
      <c r="R16" s="1525">
        <f>+D16</f>
        <v>0.49413164329920617</v>
      </c>
      <c r="S16" s="1428" t="str">
        <f>+C16&amp;" "&amp;D15</f>
        <v>Long Term Debt %</v>
      </c>
      <c r="T16"/>
    </row>
    <row r="17" spans="1:21">
      <c r="A17" s="354">
        <f t="shared" si="0"/>
        <v>7</v>
      </c>
      <c r="C17" s="1429" t="s">
        <v>374</v>
      </c>
      <c r="D17" s="1430">
        <f>'SWEPCO TCOS'!G236</f>
        <v>0</v>
      </c>
      <c r="E17" s="1431">
        <f>+'SWEPCO TCOS'!J236</f>
        <v>0</v>
      </c>
      <c r="F17" s="1432">
        <f>E17*D17</f>
        <v>0</v>
      </c>
      <c r="G17" s="1433"/>
      <c r="H17" s="1437"/>
      <c r="I17" s="1437"/>
      <c r="J17" s="1437"/>
      <c r="K17" s="1437"/>
      <c r="L17" s="1438" t="s">
        <v>425</v>
      </c>
      <c r="M17" s="1526">
        <v>2024</v>
      </c>
      <c r="P17" s="1424"/>
      <c r="Q17" s="1440"/>
      <c r="R17" s="1527">
        <f>+E16</f>
        <v>3.8138735926530609E-2</v>
      </c>
      <c r="S17" s="1428" t="str">
        <f>C16&amp;" "&amp;E15</f>
        <v>Long Term Debt Cost</v>
      </c>
      <c r="T17"/>
    </row>
    <row r="18" spans="1:21">
      <c r="A18" s="354">
        <f t="shared" si="0"/>
        <v>8</v>
      </c>
      <c r="C18" s="1429" t="s">
        <v>366</v>
      </c>
      <c r="D18" s="1430">
        <f>'SWEPCO TCOS'!G237</f>
        <v>0.50586835670079389</v>
      </c>
      <c r="E18" s="1431">
        <f>+F13</f>
        <v>0.105</v>
      </c>
      <c r="F18" s="968">
        <f>E18*D18</f>
        <v>5.3116177453583359E-2</v>
      </c>
      <c r="G18" s="969"/>
      <c r="H18" s="1437"/>
      <c r="I18" s="1437"/>
      <c r="J18" s="1437"/>
      <c r="K18" s="1437"/>
      <c r="L18" s="1528" t="s">
        <v>426</v>
      </c>
      <c r="M18" s="1529"/>
      <c r="N18" s="927">
        <f>+R46</f>
        <v>80862461.290840074</v>
      </c>
      <c r="O18" s="927">
        <f>+R47</f>
        <v>80862461.290840074</v>
      </c>
      <c r="P18" s="1076">
        <f>+O18-N18</f>
        <v>0</v>
      </c>
      <c r="Q18" s="1440"/>
      <c r="R18" s="1525">
        <f>+D17</f>
        <v>0</v>
      </c>
      <c r="S18" s="1428" t="str">
        <f>C17&amp;" "&amp;D15</f>
        <v>Preferred Stock %</v>
      </c>
      <c r="T18"/>
    </row>
    <row r="19" spans="1:21">
      <c r="A19" s="354">
        <f t="shared" si="0"/>
        <v>9</v>
      </c>
      <c r="C19" s="270"/>
      <c r="D19" s="1416"/>
      <c r="E19" s="1442" t="s">
        <v>375</v>
      </c>
      <c r="F19" s="1432">
        <f>SUM(F16:F18)</f>
        <v>7.1961733710314404E-2</v>
      </c>
      <c r="G19" s="1433"/>
      <c r="H19" s="1443"/>
      <c r="I19" s="1437"/>
      <c r="J19" s="1437"/>
      <c r="K19" s="1437"/>
      <c r="L19" s="1530" t="s">
        <v>431</v>
      </c>
      <c r="M19" s="1531"/>
      <c r="N19" s="927">
        <f>+R48</f>
        <v>84895526.749874592</v>
      </c>
      <c r="O19" s="927">
        <f>+R49</f>
        <v>84895526.749874592</v>
      </c>
      <c r="P19" s="1076">
        <f>+O19-N19</f>
        <v>0</v>
      </c>
      <c r="Q19" s="1440"/>
      <c r="R19" s="1527">
        <f>+E17</f>
        <v>0</v>
      </c>
      <c r="S19" s="1428" t="str">
        <f>C17&amp;" "&amp;E15</f>
        <v>Preferred Stock Cost</v>
      </c>
      <c r="T19"/>
    </row>
    <row r="20" spans="1:21" ht="13" thickBot="1">
      <c r="A20" s="354"/>
      <c r="D20" s="1449"/>
      <c r="E20" s="1449"/>
      <c r="F20" s="1437"/>
      <c r="G20" s="1437"/>
      <c r="H20" s="1437"/>
      <c r="I20" s="1437"/>
      <c r="J20" s="1437"/>
      <c r="K20" s="1437"/>
      <c r="L20" s="1532" t="str">
        <f>"True-up Adjustment For "&amp;M17&amp;""</f>
        <v>True-up Adjustment For 2024</v>
      </c>
      <c r="M20" s="1533"/>
      <c r="N20" s="1534">
        <f>+N19-N18</f>
        <v>4033065.4590345174</v>
      </c>
      <c r="O20" s="1534">
        <f>+O19-O18</f>
        <v>4033065.4590345174</v>
      </c>
      <c r="P20" s="1535">
        <f>+P19-P18</f>
        <v>0</v>
      </c>
      <c r="Q20" s="1437"/>
      <c r="R20" s="1525">
        <f>+D18</f>
        <v>0.50586835670079389</v>
      </c>
      <c r="S20" s="1448" t="str">
        <f>C18&amp;" "&amp;D15</f>
        <v>Common Stock %</v>
      </c>
      <c r="T20"/>
    </row>
    <row r="21" spans="1:21" ht="15.5">
      <c r="A21" s="354"/>
      <c r="C21" s="931" t="str">
        <f>"B.   Determine Return using 'R' with hypothetical "&amp;F12&amp;" basis point ROE increase for Identified Projects."</f>
        <v>B.   Determine Return using 'R' with hypothetical 0 basis point ROE increase for Identified Projects.</v>
      </c>
      <c r="D21" s="1449"/>
      <c r="E21" s="1449"/>
      <c r="F21" s="1437"/>
      <c r="G21" s="1437"/>
      <c r="H21" s="1437"/>
      <c r="I21" s="1416"/>
      <c r="J21" s="1416"/>
      <c r="K21" s="1416"/>
      <c r="L21" s="1436"/>
      <c r="M21" s="251"/>
      <c r="N21" s="1536"/>
      <c r="O21" s="1536"/>
      <c r="P21" s="1414"/>
      <c r="Q21" s="1437"/>
      <c r="R21" s="1453">
        <f>+E23</f>
        <v>1809260046.1566496</v>
      </c>
      <c r="S21" s="1451" t="str">
        <f>C23</f>
        <v xml:space="preserve">   Rate Base  (TCOS, ln 63)</v>
      </c>
      <c r="T21"/>
    </row>
    <row r="22" spans="1:21">
      <c r="A22" s="354"/>
      <c r="C22" s="1419"/>
      <c r="D22" s="1449"/>
      <c r="E22" s="1449"/>
      <c r="F22" s="1437"/>
      <c r="G22" s="1437"/>
      <c r="H22" s="1437"/>
      <c r="I22" s="1437"/>
      <c r="J22" s="1437"/>
      <c r="K22" s="1437"/>
      <c r="L22" s="1437"/>
      <c r="M22" s="1437"/>
      <c r="N22" s="1437"/>
      <c r="O22" s="1437"/>
      <c r="P22" s="1437"/>
      <c r="Q22" s="1437"/>
      <c r="R22" s="1452">
        <f>+F30</f>
        <v>0.24317999999999995</v>
      </c>
      <c r="S22" s="1424" t="str">
        <f>+C30</f>
        <v xml:space="preserve">   Tax Rate  (TCOS, ln 99)</v>
      </c>
      <c r="T22"/>
    </row>
    <row r="23" spans="1:21" ht="13">
      <c r="A23" s="354">
        <f>+A19+1</f>
        <v>10</v>
      </c>
      <c r="C23" s="270" t="str">
        <f>"   Rate Base  (TCOS, ln "&amp;'SWEPCO TCOS'!B113&amp;")"</f>
        <v xml:space="preserve">   Rate Base  (TCOS, ln 63)</v>
      </c>
      <c r="D23" s="1416"/>
      <c r="E23" s="1454">
        <f>+'SWEPCO TCOS'!L113</f>
        <v>1809260046.1566496</v>
      </c>
      <c r="F23" s="1455"/>
      <c r="G23" s="1455"/>
      <c r="H23" s="1437"/>
      <c r="I23" s="1437"/>
      <c r="J23" s="1437"/>
      <c r="K23" s="1437"/>
      <c r="L23" s="561"/>
      <c r="M23" s="1437"/>
      <c r="N23" s="1437"/>
      <c r="O23" s="1437"/>
      <c r="P23" s="1437"/>
      <c r="Q23" s="1437"/>
      <c r="R23" s="1453">
        <f>+F33</f>
        <v>35513.957477600357</v>
      </c>
      <c r="S23" s="1424" t="str">
        <f>+C33</f>
        <v xml:space="preserve">   ITC Adjustment  (TCOS, ln 108)</v>
      </c>
      <c r="T23"/>
    </row>
    <row r="24" spans="1:21">
      <c r="A24" s="354">
        <f t="shared" si="0"/>
        <v>11</v>
      </c>
      <c r="C24" s="1419" t="s">
        <v>344</v>
      </c>
      <c r="D24" s="1418"/>
      <c r="E24" s="1456">
        <f>F19</f>
        <v>7.1961733710314404E-2</v>
      </c>
      <c r="F24" s="1437"/>
      <c r="G24" s="1437"/>
      <c r="H24" s="1437"/>
      <c r="I24" s="1437"/>
      <c r="J24" s="1437"/>
      <c r="K24" s="1437"/>
      <c r="M24" s="1437"/>
      <c r="N24" s="1437"/>
      <c r="O24" s="1437"/>
      <c r="P24" s="1455"/>
      <c r="Q24" s="1437"/>
      <c r="R24" s="1453">
        <f>+F34</f>
        <v>-953110.19839128165</v>
      </c>
      <c r="S24" s="1424" t="str">
        <f>+C34</f>
        <v xml:space="preserve">   Excess DFIT Adjustment  (TCOS, ln 109)</v>
      </c>
      <c r="T24"/>
    </row>
    <row r="25" spans="1:21">
      <c r="A25" s="354">
        <f t="shared" si="0"/>
        <v>12</v>
      </c>
      <c r="C25" s="1457" t="s">
        <v>376</v>
      </c>
      <c r="D25" s="1457"/>
      <c r="E25" s="1440">
        <f>E23*E24</f>
        <v>130197489.65423596</v>
      </c>
      <c r="F25" s="1437"/>
      <c r="G25" s="1437"/>
      <c r="H25" s="1437"/>
      <c r="I25" s="1437"/>
      <c r="J25" s="1437"/>
      <c r="K25" s="1437"/>
      <c r="L25" s="1440"/>
      <c r="M25" s="1440"/>
      <c r="N25" s="1440"/>
      <c r="O25" s="1440"/>
      <c r="P25" s="1437"/>
      <c r="Q25" s="1440"/>
      <c r="R25" s="1453">
        <f>+F35</f>
        <v>274110.34539885307</v>
      </c>
      <c r="S25" s="1424" t="str">
        <f>+C35</f>
        <v xml:space="preserve">   Tax Effect of Permanent and Flow Through Differences (TCOS, ln 110)</v>
      </c>
      <c r="T25"/>
    </row>
    <row r="26" spans="1:21">
      <c r="A26" s="354"/>
      <c r="C26" s="1457"/>
      <c r="D26" s="1419"/>
      <c r="E26" s="1419"/>
      <c r="F26" s="1437"/>
      <c r="G26" s="1437"/>
      <c r="H26" s="1437"/>
      <c r="I26" s="1437"/>
      <c r="J26" s="1437"/>
      <c r="K26" s="1437"/>
      <c r="Q26" s="1440"/>
      <c r="R26" s="1453">
        <f>+F42</f>
        <v>307794887.42342484</v>
      </c>
      <c r="S26" s="1424" t="str">
        <f>+C42</f>
        <v xml:space="preserve">   Net Revenue Requirement  (TCOS, ln 117)</v>
      </c>
      <c r="T26"/>
    </row>
    <row r="27" spans="1:21" ht="15.5">
      <c r="A27" s="354"/>
      <c r="C27" s="931" t="str">
        <f>"C.   Determine Income Taxes using Return with hypothetical "&amp;F12&amp;" basis point ROE increase for Identified Projects."</f>
        <v>C.   Determine Income Taxes using Return with hypothetical 0 basis point ROE increase for Identified Projects.</v>
      </c>
      <c r="D27" s="1458"/>
      <c r="E27" s="1458"/>
      <c r="F27" s="1459"/>
      <c r="G27" s="1459"/>
      <c r="H27" s="1459"/>
      <c r="I27" s="1459"/>
      <c r="J27" s="1459"/>
      <c r="K27" s="1459"/>
      <c r="Q27" s="1460"/>
      <c r="R27" s="1453">
        <f>+F43</f>
        <v>130197489.65423596</v>
      </c>
      <c r="S27" s="1424" t="str">
        <f>+C43</f>
        <v xml:space="preserve">   Return  (TCOS, ln 112)</v>
      </c>
      <c r="T27"/>
    </row>
    <row r="28" spans="1:21" ht="14.25" customHeight="1">
      <c r="A28" s="354"/>
      <c r="C28" s="270"/>
      <c r="D28" s="1419"/>
      <c r="E28" s="1419"/>
      <c r="F28" s="1437"/>
      <c r="G28" s="1437"/>
      <c r="H28" s="1437"/>
      <c r="I28" s="1437"/>
      <c r="J28" s="1437"/>
      <c r="K28" s="1437"/>
      <c r="Q28" s="1440"/>
      <c r="R28" s="1453">
        <f>+F44</f>
        <v>30235502.17313458</v>
      </c>
      <c r="S28" s="1424" t="str">
        <f>+C44</f>
        <v xml:space="preserve">   Income Taxes  (TCOS, ln 111)</v>
      </c>
      <c r="T28"/>
      <c r="U28" s="561"/>
    </row>
    <row r="29" spans="1:21" ht="19.5" customHeight="1">
      <c r="A29" s="354">
        <f>+A25+1</f>
        <v>13</v>
      </c>
      <c r="C29" s="1419" t="s">
        <v>377</v>
      </c>
      <c r="D29" s="1442"/>
      <c r="F29" s="1455">
        <f>E25</f>
        <v>130197489.65423596</v>
      </c>
      <c r="G29" s="1437"/>
      <c r="H29" s="1437"/>
      <c r="I29" s="1437"/>
      <c r="J29" s="1437"/>
      <c r="K29" s="1437"/>
      <c r="L29" s="989" t="s">
        <v>128</v>
      </c>
      <c r="M29" s="990" t="s">
        <v>439</v>
      </c>
      <c r="N29" s="991"/>
      <c r="O29" s="991"/>
      <c r="P29" s="1032"/>
      <c r="Q29" s="1437"/>
      <c r="R29" s="1453">
        <f>+F45</f>
        <v>137137.54269927507</v>
      </c>
      <c r="S29" s="1424" t="str">
        <f>+C45</f>
        <v xml:space="preserve">  Gross Margin Taxes  (TCOS, ln 116)</v>
      </c>
      <c r="T29"/>
    </row>
    <row r="30" spans="1:21" ht="18">
      <c r="A30" s="354">
        <f t="shared" si="0"/>
        <v>14</v>
      </c>
      <c r="C30" s="270" t="str">
        <f>"   Tax Rate  (TCOS, ln "&amp;'SWEPCO TCOS'!B168&amp;")"</f>
        <v xml:space="preserve">   Tax Rate  (TCOS, ln 99)</v>
      </c>
      <c r="D30" s="1442"/>
      <c r="F30" s="648">
        <f>+'SWEPCO TCOS'!G168</f>
        <v>0.24317999999999995</v>
      </c>
      <c r="G30" s="1437"/>
      <c r="H30" s="1437"/>
      <c r="I30" s="1437"/>
      <c r="J30" s="1437"/>
      <c r="K30" s="1437"/>
      <c r="L30" s="1440"/>
      <c r="M30" s="995" t="s">
        <v>427</v>
      </c>
      <c r="N30" s="996"/>
      <c r="O30" s="996"/>
      <c r="P30" s="1032"/>
      <c r="Q30" s="1437"/>
      <c r="R30" s="1453">
        <f>+F55</f>
        <v>59782181.27282913</v>
      </c>
      <c r="S30" s="1424" t="str">
        <f>+C55</f>
        <v xml:space="preserve">   Less: Depreciation  (TCOS, ln 86)</v>
      </c>
      <c r="T30"/>
    </row>
    <row r="31" spans="1:21">
      <c r="A31" s="354">
        <f t="shared" si="0"/>
        <v>15</v>
      </c>
      <c r="C31" s="1419" t="s">
        <v>199</v>
      </c>
      <c r="F31" s="1425">
        <f>IF(F16&gt;0,($F30/(1-$F30))*(1-$F16/$F19),0)</f>
        <v>0.23717037978730923</v>
      </c>
      <c r="R31" s="1452">
        <f>+F61</f>
        <v>0.43687623629877959</v>
      </c>
      <c r="S31" s="1424" t="str">
        <f>+C61</f>
        <v xml:space="preserve">       Apportionment Factor to Texas (Worksheet K, ln 12)</v>
      </c>
      <c r="T31"/>
    </row>
    <row r="32" spans="1:21">
      <c r="A32" s="354">
        <f t="shared" si="0"/>
        <v>16</v>
      </c>
      <c r="C32" s="1457" t="s">
        <v>200</v>
      </c>
      <c r="F32" s="1461">
        <f>F29*F31</f>
        <v>30878988.068649407</v>
      </c>
      <c r="R32" s="1453">
        <f>+F71</f>
        <v>1991648564.8399999</v>
      </c>
      <c r="S32" s="1424" t="str">
        <f>+C71</f>
        <v xml:space="preserve">   Net Transmission Plant  (TCOS, ln 37)</v>
      </c>
      <c r="T32"/>
    </row>
    <row r="33" spans="1:21" ht="15.5">
      <c r="A33" s="354">
        <f t="shared" si="0"/>
        <v>17</v>
      </c>
      <c r="C33" s="270" t="str">
        <f>"   ITC Adjustment  (TCOS, ln "&amp;'SWEPCO TCOS'!B178&amp;")"</f>
        <v xml:space="preserve">   ITC Adjustment  (TCOS, ln 108)</v>
      </c>
      <c r="D33" s="570"/>
      <c r="F33" s="1437">
        <f>+'SWEPCO TCOS'!L178</f>
        <v>35513.957477600357</v>
      </c>
      <c r="G33" s="570"/>
      <c r="H33" s="570"/>
      <c r="I33" s="570"/>
      <c r="J33" s="570"/>
      <c r="K33" s="570"/>
      <c r="Q33" s="570"/>
      <c r="R33" s="1452">
        <f>+F76</f>
        <v>0.1245263399019997</v>
      </c>
      <c r="S33" s="1537" t="str">
        <f>+C77</f>
        <v xml:space="preserve">   FCR less Depreciation  (TCOS, ln 10)</v>
      </c>
      <c r="T33"/>
      <c r="U33" s="561"/>
    </row>
    <row r="34" spans="1:21" ht="15.5">
      <c r="A34" s="354">
        <f t="shared" si="0"/>
        <v>18</v>
      </c>
      <c r="C34" s="270" t="str">
        <f>"   Excess DFIT Adjustment  (TCOS, ln "&amp;'SWEPCO TCOS'!B179&amp;")"</f>
        <v xml:space="preserve">   Excess DFIT Adjustment  (TCOS, ln 109)</v>
      </c>
      <c r="D34" s="570"/>
      <c r="F34" s="1437">
        <f>+'SWEPCO TCOS'!L179</f>
        <v>-953110.19839128165</v>
      </c>
      <c r="G34" s="570"/>
      <c r="H34" s="570"/>
      <c r="I34" s="570"/>
      <c r="J34" s="570"/>
      <c r="K34" s="570"/>
      <c r="Q34" s="570"/>
      <c r="R34" s="1538">
        <f>+F81</f>
        <v>2739528174.0769229</v>
      </c>
      <c r="S34" s="1539" t="str">
        <f>+C81</f>
        <v>Transmission Plant Average Balance for 2024 (WS A-1 Ln 14 Col (d))</v>
      </c>
      <c r="T34"/>
      <c r="U34" s="561"/>
    </row>
    <row r="35" spans="1:21" ht="16" thickBot="1">
      <c r="A35" s="354">
        <f t="shared" si="0"/>
        <v>19</v>
      </c>
      <c r="C35" s="270" t="str">
        <f>"   Tax Effect of Permanent and Flow Through Differences (TCOS, ln "&amp;'SWEPCO TCOS'!B180&amp;")"</f>
        <v xml:space="preserve">   Tax Effect of Permanent and Flow Through Differences (TCOS, ln 110)</v>
      </c>
      <c r="D35" s="570"/>
      <c r="F35" s="1437">
        <f>+'SWEPCO TCOS'!L180</f>
        <v>274110.34539885307</v>
      </c>
      <c r="G35" s="570"/>
      <c r="H35" s="570"/>
      <c r="I35" s="570"/>
      <c r="J35" s="570"/>
      <c r="K35" s="570"/>
      <c r="Q35" s="570"/>
      <c r="R35" s="1540">
        <f>+F82</f>
        <v>62416638</v>
      </c>
      <c r="S35" s="1541" t="str">
        <f>+C82</f>
        <v>Annual Depreciation Expense  (TCOS, ln 86)</v>
      </c>
      <c r="T35"/>
      <c r="U35" s="561"/>
    </row>
    <row r="36" spans="1:21" ht="15.5">
      <c r="A36" s="354">
        <f t="shared" si="0"/>
        <v>20</v>
      </c>
      <c r="C36" s="1457" t="s">
        <v>378</v>
      </c>
      <c r="D36" s="570"/>
      <c r="F36" s="1465">
        <f>+SUM(F32:F35)</f>
        <v>30235502.17313458</v>
      </c>
      <c r="G36" s="570"/>
      <c r="H36" s="570"/>
      <c r="I36" s="570"/>
      <c r="J36" s="570"/>
      <c r="K36" s="570"/>
      <c r="L36" s="979"/>
      <c r="M36" s="979"/>
      <c r="N36" s="979"/>
      <c r="O36" s="979"/>
      <c r="P36" s="979"/>
      <c r="Q36" s="570"/>
      <c r="R36" s="1350"/>
      <c r="T36"/>
    </row>
    <row r="37" spans="1:21" ht="12.75" customHeight="1">
      <c r="A37" s="354"/>
      <c r="C37" s="495"/>
      <c r="D37" s="570"/>
      <c r="E37" s="570"/>
      <c r="F37" s="570"/>
      <c r="G37" s="570"/>
      <c r="H37" s="570"/>
      <c r="I37" s="570"/>
      <c r="J37" s="570"/>
      <c r="K37" s="570"/>
      <c r="L37" s="979"/>
      <c r="M37" s="979"/>
      <c r="N37" s="979"/>
      <c r="O37" s="979"/>
      <c r="P37" s="979"/>
      <c r="Q37" s="570"/>
      <c r="T37"/>
    </row>
    <row r="38" spans="1:21" ht="18">
      <c r="A38" s="354"/>
      <c r="B38" s="929" t="s">
        <v>311</v>
      </c>
      <c r="C38" s="35" t="str">
        <f>"Calculate Net Plant Carrying Charge Rate (Fixed Charge Rate or FCR) with hypothetical "&amp;F12&amp;" basis point"</f>
        <v>Calculate Net Plant Carrying Charge Rate (Fixed Charge Rate or FCR) with hypothetical 0 basis point</v>
      </c>
      <c r="D38" s="570"/>
      <c r="E38" s="570"/>
      <c r="F38" s="570"/>
      <c r="G38" s="570"/>
      <c r="H38" s="570"/>
      <c r="I38" s="570"/>
      <c r="J38" s="570"/>
      <c r="K38" s="570"/>
      <c r="L38" s="979"/>
      <c r="M38" s="979"/>
      <c r="N38" s="979"/>
      <c r="O38" s="979"/>
      <c r="P38" s="979"/>
      <c r="Q38" s="570"/>
      <c r="T38"/>
    </row>
    <row r="39" spans="1:21" ht="18.75" customHeight="1">
      <c r="A39" s="354"/>
      <c r="B39" s="929"/>
      <c r="C39" s="35" t="str">
        <f>"ROE increase."</f>
        <v>ROE increase.</v>
      </c>
      <c r="D39" s="570"/>
      <c r="E39" s="570"/>
      <c r="F39" s="570"/>
      <c r="G39" s="570"/>
      <c r="H39" s="570"/>
      <c r="I39" s="570"/>
      <c r="J39" s="570"/>
      <c r="K39" s="570"/>
      <c r="L39" s="570"/>
      <c r="M39" s="570"/>
      <c r="N39" s="570"/>
      <c r="O39" s="570"/>
      <c r="P39" s="582"/>
      <c r="Q39" s="570"/>
      <c r="R39" s="561" t="s">
        <v>167</v>
      </c>
      <c r="S39" s="928" t="s">
        <v>434</v>
      </c>
    </row>
    <row r="40" spans="1:21" ht="12.75" customHeight="1">
      <c r="A40" s="354"/>
      <c r="C40" s="495"/>
      <c r="D40" s="570"/>
      <c r="E40" s="570"/>
      <c r="F40" s="570"/>
      <c r="G40" s="570"/>
      <c r="H40" s="570"/>
      <c r="I40" s="570"/>
      <c r="J40" s="570"/>
      <c r="K40" s="570"/>
      <c r="P40" s="582"/>
      <c r="Q40" s="570"/>
    </row>
    <row r="41" spans="1:21" ht="15.5">
      <c r="A41" s="354"/>
      <c r="C41" s="931" t="s">
        <v>149</v>
      </c>
      <c r="D41" s="570"/>
      <c r="E41" s="570"/>
      <c r="F41" s="495"/>
      <c r="G41" s="495"/>
      <c r="H41" s="570"/>
      <c r="I41" s="570"/>
      <c r="J41" s="570"/>
      <c r="K41" s="570"/>
      <c r="P41" s="582"/>
      <c r="Q41" s="570"/>
      <c r="R41" s="928" t="s">
        <v>168</v>
      </c>
      <c r="S41" s="928" t="s">
        <v>434</v>
      </c>
    </row>
    <row r="42" spans="1:21" ht="12.75" customHeight="1">
      <c r="A42" s="354">
        <f>+A36+1</f>
        <v>21</v>
      </c>
      <c r="C42" s="270" t="str">
        <f>"   Net Revenue Requirement  (TCOS, ln "&amp;'SWEPCO TCOS'!B193&amp;")"</f>
        <v xml:space="preserve">   Net Revenue Requirement  (TCOS, ln 117)</v>
      </c>
      <c r="D42" s="1416"/>
      <c r="E42" s="1416"/>
      <c r="F42" s="1437">
        <f>+'SWEPCO TCOS'!L193</f>
        <v>307794887.42342484</v>
      </c>
      <c r="G42" s="1437"/>
      <c r="H42" s="1416"/>
      <c r="I42" s="1416"/>
      <c r="J42" s="1416"/>
      <c r="K42" s="1416"/>
      <c r="L42" s="1416"/>
      <c r="M42" s="1416"/>
      <c r="N42" s="1416"/>
      <c r="O42" s="1416"/>
      <c r="P42" s="1437"/>
      <c r="Q42" s="1416"/>
      <c r="R42" s="928"/>
      <c r="S42" s="561"/>
    </row>
    <row r="43" spans="1:21" ht="13">
      <c r="A43" s="354">
        <f t="shared" si="0"/>
        <v>22</v>
      </c>
      <c r="C43" s="270" t="str">
        <f>"   Return  (TCOS, ln "&amp;'SWEPCO TCOS'!B184&amp;")"</f>
        <v xml:space="preserve">   Return  (TCOS, ln 112)</v>
      </c>
      <c r="D43" s="1416"/>
      <c r="E43" s="1416"/>
      <c r="F43" s="1440">
        <f>+'SWEPCO TCOS'!L184</f>
        <v>130197489.65423596</v>
      </c>
      <c r="G43" s="1440"/>
      <c r="H43" s="270"/>
      <c r="I43" s="270"/>
      <c r="J43" s="270"/>
      <c r="K43" s="270"/>
      <c r="L43" s="270"/>
      <c r="M43" s="270"/>
      <c r="N43" s="270"/>
      <c r="O43" s="270"/>
      <c r="P43" s="1437"/>
      <c r="Q43" s="270"/>
      <c r="R43" s="928"/>
      <c r="S43" s="561"/>
    </row>
    <row r="44" spans="1:21" ht="13">
      <c r="A44" s="354">
        <f t="shared" si="0"/>
        <v>23</v>
      </c>
      <c r="C44" s="270" t="str">
        <f>"   Income Taxes  (TCOS, ln "&amp;'SWEPCO TCOS'!B182&amp;")"</f>
        <v xml:space="preserve">   Income Taxes  (TCOS, ln 111)</v>
      </c>
      <c r="D44" s="1416"/>
      <c r="E44" s="1416"/>
      <c r="F44" s="1437">
        <f>+'SWEPCO TCOS'!L182</f>
        <v>30235502.17313458</v>
      </c>
      <c r="G44" s="1437"/>
      <c r="H44" s="1416"/>
      <c r="I44" s="1416"/>
      <c r="J44" s="1416"/>
      <c r="K44" s="1416"/>
      <c r="L44" s="1470"/>
      <c r="M44" s="1470"/>
      <c r="N44" s="1470"/>
      <c r="O44" s="1470"/>
      <c r="P44" s="1416"/>
      <c r="Q44" s="1470"/>
      <c r="R44" s="932" t="s">
        <v>164</v>
      </c>
      <c r="S44" s="928" t="s">
        <v>70</v>
      </c>
    </row>
    <row r="45" spans="1:21" ht="13.5" thickBot="1">
      <c r="A45" s="354">
        <f t="shared" si="0"/>
        <v>24</v>
      </c>
      <c r="C45" s="270" t="str">
        <f>"  Gross Margin Taxes  (TCOS, ln "&amp;'SWEPCO TCOS'!B191&amp;")"</f>
        <v xml:space="preserve">  Gross Margin Taxes  (TCOS, ln 116)</v>
      </c>
      <c r="D45" s="1416"/>
      <c r="E45" s="1416"/>
      <c r="F45" s="1471">
        <f>+'SWEPCO TCOS'!L191</f>
        <v>137137.54269927507</v>
      </c>
      <c r="G45" s="1437"/>
      <c r="H45" s="1416"/>
      <c r="I45" s="1416"/>
      <c r="J45" s="1416"/>
      <c r="K45" s="1416"/>
      <c r="L45" s="1470"/>
      <c r="M45" s="1470"/>
      <c r="N45" s="1470"/>
      <c r="O45" s="1470"/>
      <c r="P45" s="1416"/>
      <c r="Q45" s="1470"/>
      <c r="R45" s="928" t="s">
        <v>435</v>
      </c>
    </row>
    <row r="46" spans="1:21">
      <c r="A46" s="354">
        <f t="shared" si="0"/>
        <v>25</v>
      </c>
      <c r="C46" s="286" t="s">
        <v>23</v>
      </c>
      <c r="D46" s="1416"/>
      <c r="E46" s="1416"/>
      <c r="F46" s="1440">
        <f>F42-F43-F44-F45</f>
        <v>147224758.05335504</v>
      </c>
      <c r="G46" s="1440"/>
      <c r="H46" s="251"/>
      <c r="I46" s="1416"/>
      <c r="J46" s="1416"/>
      <c r="K46" s="1416"/>
      <c r="L46" s="251"/>
      <c r="M46" s="251"/>
      <c r="N46" s="251"/>
      <c r="O46" s="251"/>
      <c r="P46" s="251"/>
      <c r="Q46" s="251"/>
      <c r="R46" s="2193">
        <v>80862461.290840074</v>
      </c>
      <c r="S46" s="286" t="str">
        <f>+L18&amp;" "&amp;N16</f>
        <v>∑ True Up Year Projected  WS-F   Rev Require</v>
      </c>
    </row>
    <row r="47" spans="1:21">
      <c r="A47" s="354"/>
      <c r="C47" s="270"/>
      <c r="D47" s="1416"/>
      <c r="E47" s="1416"/>
      <c r="F47" s="1437"/>
      <c r="G47" s="1437"/>
      <c r="H47" s="1417"/>
      <c r="I47" s="1433"/>
      <c r="J47" s="1433"/>
      <c r="K47" s="1433"/>
      <c r="L47" s="1433"/>
      <c r="M47" s="1433"/>
      <c r="N47" s="1433"/>
      <c r="O47" s="1433"/>
      <c r="P47" s="1433"/>
      <c r="Q47" s="1433"/>
      <c r="R47" s="2194">
        <v>80862461.290840074</v>
      </c>
      <c r="S47" s="286" t="str">
        <f>+L18&amp;" "&amp;O16</f>
        <v>∑ True Up Year Projected  WS-F    With Incentives</v>
      </c>
    </row>
    <row r="48" spans="1:21" ht="15.5">
      <c r="A48" s="354"/>
      <c r="C48" s="931" t="str">
        <f>"B.   Determine Net Revenue Requirement with hypothetical "&amp;F12&amp;" basis point increase in ROE."</f>
        <v>B.   Determine Net Revenue Requirement with hypothetical 0 basis point increase in ROE.</v>
      </c>
      <c r="D48" s="1419"/>
      <c r="E48" s="1419"/>
      <c r="F48" s="1437"/>
      <c r="G48" s="1437"/>
      <c r="H48" s="1417"/>
      <c r="I48" s="1433"/>
      <c r="J48" s="1433"/>
      <c r="K48" s="1433"/>
      <c r="L48" s="1433"/>
      <c r="M48" s="1433"/>
      <c r="N48" s="1433"/>
      <c r="O48" s="1433"/>
      <c r="P48" s="1433"/>
      <c r="Q48" s="1433"/>
      <c r="R48" s="2194">
        <v>84895526.749874592</v>
      </c>
      <c r="S48" s="286" t="str">
        <f>+L19&amp;" "&amp;N16</f>
        <v>∑ True-Up Year True-Up WS-G   Rev Require</v>
      </c>
    </row>
    <row r="49" spans="1:19" ht="13" thickBot="1">
      <c r="A49" s="354">
        <f>+A46+1</f>
        <v>26</v>
      </c>
      <c r="C49" s="270" t="str">
        <f>C46</f>
        <v xml:space="preserve">   Net Revenue Requirement, Less Return and Taxes</v>
      </c>
      <c r="D49" s="1419"/>
      <c r="E49" s="1419"/>
      <c r="F49" s="1437">
        <f>F46</f>
        <v>147224758.05335504</v>
      </c>
      <c r="G49" s="1437"/>
      <c r="H49" s="1417"/>
      <c r="I49" s="1433"/>
      <c r="J49" s="1433"/>
      <c r="K49" s="1433"/>
      <c r="L49" s="1433"/>
      <c r="M49" s="1433"/>
      <c r="N49" s="1433"/>
      <c r="O49" s="1433"/>
      <c r="P49" s="1433"/>
      <c r="Q49" s="1433"/>
      <c r="R49" s="2195">
        <v>84895526.749874592</v>
      </c>
      <c r="S49" s="286" t="str">
        <f>+L19&amp;" "&amp;O16</f>
        <v>∑ True-Up Year True-Up WS-G    With Incentives</v>
      </c>
    </row>
    <row r="50" spans="1:19" ht="13">
      <c r="A50" s="354">
        <f t="shared" ref="A50:A56" si="1">+A49+1</f>
        <v>27</v>
      </c>
      <c r="C50" s="1419" t="s">
        <v>386</v>
      </c>
      <c r="F50" s="1461">
        <f>E25</f>
        <v>130197489.65423596</v>
      </c>
      <c r="G50" s="1437"/>
      <c r="H50" s="1416"/>
      <c r="I50" s="1416"/>
      <c r="J50" s="1416"/>
      <c r="K50" s="1416"/>
      <c r="L50" s="1416"/>
      <c r="M50" s="1416"/>
      <c r="N50" s="1416"/>
      <c r="O50" s="1416"/>
      <c r="P50" s="1012"/>
      <c r="Q50" s="1416"/>
    </row>
    <row r="51" spans="1:19">
      <c r="A51" s="354">
        <f t="shared" si="1"/>
        <v>28</v>
      </c>
      <c r="C51" s="270" t="s">
        <v>379</v>
      </c>
      <c r="D51" s="1416"/>
      <c r="E51" s="1416"/>
      <c r="F51" s="1013">
        <f>F36</f>
        <v>30235502.17313458</v>
      </c>
      <c r="G51" s="1461"/>
      <c r="I51" s="1354"/>
      <c r="J51" s="1354"/>
      <c r="K51" s="1354"/>
    </row>
    <row r="52" spans="1:19" ht="12.75" customHeight="1">
      <c r="A52" s="354">
        <f t="shared" si="1"/>
        <v>29</v>
      </c>
      <c r="C52" s="286" t="str">
        <f>"   Net Revenue Requirement, with "&amp;F12&amp;" Basis Point ROE increase"</f>
        <v xml:space="preserve">   Net Revenue Requirement, with 0 Basis Point ROE increase</v>
      </c>
      <c r="F52" s="1461">
        <f>SUM(F49:F51)</f>
        <v>307657749.88072556</v>
      </c>
      <c r="G52" s="1014"/>
    </row>
    <row r="53" spans="1:19">
      <c r="A53" s="354">
        <f t="shared" si="1"/>
        <v>30</v>
      </c>
      <c r="C53" s="286" t="str">
        <f>"   Gross Margin Tax with "&amp;F87&amp;" Basis Point ROE Increase (II C. below)"</f>
        <v xml:space="preserve">   Gross Margin Tax with  Basis Point ROE Increase (II C. below)</v>
      </c>
      <c r="D53" s="286"/>
      <c r="F53" s="1472">
        <f>+F68</f>
        <v>137137.54269927507</v>
      </c>
      <c r="G53" s="1461"/>
    </row>
    <row r="54" spans="1:19">
      <c r="A54" s="354">
        <f t="shared" si="1"/>
        <v>31</v>
      </c>
      <c r="C54" s="286" t="s">
        <v>24</v>
      </c>
      <c r="F54" s="1461">
        <f>+F52+F53</f>
        <v>307794887.42342484</v>
      </c>
      <c r="G54" s="1461"/>
    </row>
    <row r="55" spans="1:19">
      <c r="A55" s="354">
        <f t="shared" si="1"/>
        <v>32</v>
      </c>
      <c r="C55" s="270" t="str">
        <f>"   Less: Depreciation  (TCOS, ln "&amp;'SWEPCO TCOS'!B153&amp;")"</f>
        <v xml:space="preserve">   Less: Depreciation  (TCOS, ln 86)</v>
      </c>
      <c r="F55" s="1016">
        <f>+'SWEPCO TCOS'!L153</f>
        <v>59782181.27282913</v>
      </c>
      <c r="G55" s="1461"/>
    </row>
    <row r="56" spans="1:19">
      <c r="A56" s="354">
        <f t="shared" si="1"/>
        <v>33</v>
      </c>
      <c r="C56" s="286" t="str">
        <f>"   Net Rev. Req, w/"&amp;F12&amp;" Basis Point ROE increase, less Depreciation"</f>
        <v xml:space="preserve">   Net Rev. Req, w/0 Basis Point ROE increase, less Depreciation</v>
      </c>
      <c r="F56" s="1461">
        <f>F54-F55</f>
        <v>248012706.15059572</v>
      </c>
      <c r="G56" s="1016"/>
    </row>
    <row r="57" spans="1:19">
      <c r="A57" s="354"/>
      <c r="G57" s="1461"/>
    </row>
    <row r="58" spans="1:19" ht="15.5">
      <c r="A58" s="354"/>
      <c r="C58" s="931" t="str">
        <f>"C.   Determine Gross Margin Tax with hypothetical "&amp;F12&amp;" basis point increase in ROE."</f>
        <v>C.   Determine Gross Margin Tax with hypothetical 0 basis point increase in ROE.</v>
      </c>
      <c r="D58" s="286"/>
      <c r="F58" s="1461"/>
    </row>
    <row r="59" spans="1:19">
      <c r="A59" s="354">
        <f>+A56+1</f>
        <v>34</v>
      </c>
      <c r="C59" s="286" t="str">
        <f>"   Net Revenue Requirement before Gross Margin Taxes, with "&amp;F12&amp;" "</f>
        <v xml:space="preserve">   Net Revenue Requirement before Gross Margin Taxes, with 0 </v>
      </c>
      <c r="D59" s="286"/>
      <c r="F59" s="1461">
        <f>+F52</f>
        <v>307657749.88072556</v>
      </c>
      <c r="G59" s="1461"/>
    </row>
    <row r="60" spans="1:19">
      <c r="A60" s="354">
        <f t="shared" ref="A60:A68" si="2">+A59+1</f>
        <v>35</v>
      </c>
      <c r="C60" s="286" t="s">
        <v>25</v>
      </c>
      <c r="D60" s="286"/>
      <c r="F60" s="1461"/>
      <c r="G60" s="1461"/>
    </row>
    <row r="61" spans="1:19">
      <c r="A61" s="354">
        <f t="shared" si="2"/>
        <v>36</v>
      </c>
      <c r="C61" s="286" t="str">
        <f>"       Apportionment Factor to Texas (Worksheet K, ln "&amp;'SWEPCO WS K State Taxes'!A53&amp;")"</f>
        <v xml:space="preserve">       Apportionment Factor to Texas (Worksheet K, ln 12)</v>
      </c>
      <c r="F61" s="1473">
        <f>+'SWEPCO WS K State Taxes'!E53</f>
        <v>0.43687623629877959</v>
      </c>
      <c r="G61" s="1461"/>
    </row>
    <row r="62" spans="1:19">
      <c r="A62" s="354">
        <f t="shared" si="2"/>
        <v>37</v>
      </c>
      <c r="C62" s="286" t="s">
        <v>26</v>
      </c>
      <c r="F62" s="1461">
        <f>+F61*F59</f>
        <v>134408359.8360427</v>
      </c>
      <c r="G62" s="648"/>
    </row>
    <row r="63" spans="1:19">
      <c r="A63" s="354">
        <f t="shared" si="2"/>
        <v>38</v>
      </c>
      <c r="C63" s="286" t="s">
        <v>690</v>
      </c>
      <c r="F63" s="1474">
        <f>+'SWEPCO WS K State Taxes'!K42</f>
        <v>0.13597918350365104</v>
      </c>
      <c r="G63" s="1461"/>
    </row>
    <row r="64" spans="1:19">
      <c r="A64" s="354">
        <f t="shared" si="2"/>
        <v>39</v>
      </c>
      <c r="C64" s="286" t="s">
        <v>27</v>
      </c>
      <c r="F64" s="1461">
        <f>+F62*F63</f>
        <v>18276739.026570011</v>
      </c>
      <c r="G64" s="1475"/>
    </row>
    <row r="65" spans="1:8">
      <c r="A65" s="354">
        <f t="shared" si="2"/>
        <v>40</v>
      </c>
      <c r="C65" s="286" t="s">
        <v>28</v>
      </c>
      <c r="F65" s="1542">
        <f>+'SWEPCO WS K State Taxes'!K44</f>
        <v>7.4999999999999997E-3</v>
      </c>
      <c r="G65" s="1461"/>
    </row>
    <row r="66" spans="1:8">
      <c r="A66" s="354">
        <f t="shared" si="2"/>
        <v>41</v>
      </c>
      <c r="C66" s="286" t="s">
        <v>29</v>
      </c>
      <c r="F66" s="1461">
        <f>+F64*F65</f>
        <v>137075.54269927507</v>
      </c>
      <c r="G66" s="1475"/>
    </row>
    <row r="67" spans="1:8">
      <c r="A67" s="354">
        <f t="shared" si="2"/>
        <v>42</v>
      </c>
      <c r="C67" s="286" t="s">
        <v>30</v>
      </c>
      <c r="F67" s="1476">
        <f>+ROUND((F66*F63*F61)/(1-F65)*F65,0)</f>
        <v>62</v>
      </c>
      <c r="G67" s="1461"/>
    </row>
    <row r="68" spans="1:8">
      <c r="A68" s="354">
        <f t="shared" si="2"/>
        <v>43</v>
      </c>
      <c r="C68" s="286" t="s">
        <v>31</v>
      </c>
      <c r="F68" s="1461">
        <f>+F66+F67</f>
        <v>137137.54269927507</v>
      </c>
      <c r="G68" s="1392"/>
    </row>
    <row r="69" spans="1:8">
      <c r="A69" s="354"/>
      <c r="G69" s="1461"/>
    </row>
    <row r="70" spans="1:8" ht="15.5">
      <c r="A70" s="354"/>
      <c r="C70" s="931" t="str">
        <f>"D.   Determine FCR with hypothetical "&amp;F12&amp;" basis point ROE increase."</f>
        <v>D.   Determine FCR with hypothetical 0 basis point ROE increase.</v>
      </c>
    </row>
    <row r="71" spans="1:8">
      <c r="A71" s="354">
        <f>+A68+1</f>
        <v>44</v>
      </c>
      <c r="C71" s="270" t="str">
        <f>"   Net Transmission Plant  (TCOS, ln "&amp;'SWEPCO TCOS'!B79&amp;")"</f>
        <v xml:space="preserve">   Net Transmission Plant  (TCOS, ln 37)</v>
      </c>
      <c r="F71" s="1461">
        <f>+'SWEPCO TCOS'!L79</f>
        <v>1991648564.8399999</v>
      </c>
    </row>
    <row r="72" spans="1:8" ht="14">
      <c r="A72" s="354">
        <f>+A71+1</f>
        <v>45</v>
      </c>
      <c r="C72" s="286" t="str">
        <f>"   Net Revenue Requirement, with "&amp;F12&amp;" Basis Point ROE increase"</f>
        <v xml:space="preserve">   Net Revenue Requirement, with 0 Basis Point ROE increase</v>
      </c>
      <c r="F72" s="1021">
        <f>+F54</f>
        <v>307794887.42342484</v>
      </c>
      <c r="G72" s="1461"/>
    </row>
    <row r="73" spans="1:8" ht="14">
      <c r="A73" s="354">
        <f>+A72+1</f>
        <v>46</v>
      </c>
      <c r="C73" s="286" t="str">
        <f>"   FCR with "&amp;F12&amp;" Basis Point increase in ROE"</f>
        <v xml:space="preserve">   FCR with 0 Basis Point increase in ROE</v>
      </c>
      <c r="F73" s="648">
        <f>IF(F71=0,0,F72/F71)</f>
        <v>0.15454277067608646</v>
      </c>
      <c r="G73" s="1021"/>
    </row>
    <row r="74" spans="1:8">
      <c r="A74" s="354"/>
      <c r="G74" s="648"/>
    </row>
    <row r="75" spans="1:8">
      <c r="A75" s="354">
        <f>+A73+1</f>
        <v>47</v>
      </c>
      <c r="C75" s="286" t="str">
        <f>"   Net Rev. Req, w / "&amp;F12&amp;" Basis Point ROE increase, less Dep."</f>
        <v xml:space="preserve">   Net Rev. Req, w / 0 Basis Point ROE increase, less Dep.</v>
      </c>
      <c r="F75" s="1461">
        <f>+F56</f>
        <v>248012706.15059572</v>
      </c>
      <c r="H75" s="648"/>
    </row>
    <row r="76" spans="1:8">
      <c r="A76" s="354">
        <f t="shared" ref="A76:A85" si="3">+A75+1</f>
        <v>48</v>
      </c>
      <c r="C76" s="286" t="str">
        <f>"   FCR with "&amp;F12&amp;" Basis Point ROE increase, less Depreciation"</f>
        <v xml:space="preserve">   FCR with 0 Basis Point ROE increase, less Depreciation</v>
      </c>
      <c r="F76" s="648">
        <f>IF(F71=0,0,F75/F71)</f>
        <v>0.1245263399019997</v>
      </c>
      <c r="G76" s="1461"/>
    </row>
    <row r="77" spans="1:8">
      <c r="A77" s="354">
        <f t="shared" si="3"/>
        <v>49</v>
      </c>
      <c r="C77" s="270" t="str">
        <f>"   FCR less Depreciation  (TCOS, ln "&amp;'SWEPCO TCOS'!B30&amp;")"</f>
        <v xml:space="preserve">   FCR less Depreciation  (TCOS, ln 10)</v>
      </c>
      <c r="F77" s="1022">
        <f>+'SWEPCO TCOS'!L30</f>
        <v>0.1245263399019997</v>
      </c>
      <c r="G77" s="648"/>
      <c r="H77" s="1461"/>
    </row>
    <row r="78" spans="1:8">
      <c r="A78" s="354">
        <f t="shared" si="3"/>
        <v>50</v>
      </c>
      <c r="C78" s="286" t="str">
        <f>"   Incremental FCR with "&amp;F12&amp;" Basis Point ROE increase, less Depreciation"</f>
        <v xml:space="preserve">   Incremental FCR with 0 Basis Point ROE increase, less Depreciation</v>
      </c>
      <c r="F78" s="648">
        <f>F76-F77</f>
        <v>0</v>
      </c>
      <c r="G78" s="1022"/>
      <c r="H78" s="1477"/>
    </row>
    <row r="79" spans="1:8">
      <c r="A79" s="354"/>
      <c r="F79" s="648"/>
      <c r="G79" s="648"/>
    </row>
    <row r="80" spans="1:8" ht="18">
      <c r="A80" s="354"/>
      <c r="B80" s="929" t="s">
        <v>312</v>
      </c>
      <c r="C80" s="35" t="s">
        <v>380</v>
      </c>
      <c r="F80" s="648"/>
      <c r="G80" s="648"/>
    </row>
    <row r="81" spans="1:16" ht="12.75" customHeight="1">
      <c r="A81" s="354">
        <f>+A78+1</f>
        <v>51</v>
      </c>
      <c r="C81" s="286" t="str">
        <f>"Transmission Plant Average Balance for "&amp;'SWEPCO TCOS'!$N$2&amp;" (WS A-1 Ln "&amp;'SWEPCO WS A-1 - Plant'!A24&amp;" Col "&amp;'SWEPCO WS A-1 - Plant'!E9&amp;")"</f>
        <v>Transmission Plant Average Balance for 2024 (WS A-1 Ln 14 Col (d))</v>
      </c>
      <c r="F81" s="1354">
        <f>+'SWEPCO WS A-1 - Plant'!E24</f>
        <v>2739528174.0769229</v>
      </c>
      <c r="G81" s="1337"/>
    </row>
    <row r="82" spans="1:16">
      <c r="A82" s="354">
        <f t="shared" si="3"/>
        <v>52</v>
      </c>
      <c r="C82" s="270" t="str">
        <f>"Annual Depreciation Expense  (TCOS, ln "&amp;'SWEPCO TCOS'!B153&amp;")"</f>
        <v>Annual Depreciation Expense  (TCOS, ln 86)</v>
      </c>
      <c r="F82" s="1354">
        <f>+'SWEPCO TCOS'!G153</f>
        <v>62416638</v>
      </c>
      <c r="G82" s="1354"/>
    </row>
    <row r="83" spans="1:16">
      <c r="A83" s="354">
        <f t="shared" si="3"/>
        <v>53</v>
      </c>
      <c r="C83" s="286" t="s">
        <v>381</v>
      </c>
      <c r="F83" s="648">
        <f>IF(F81=0,0,F82/F81)</f>
        <v>2.2783718229519991E-2</v>
      </c>
      <c r="G83" s="1354"/>
    </row>
    <row r="84" spans="1:16">
      <c r="A84" s="354">
        <f t="shared" si="3"/>
        <v>54</v>
      </c>
      <c r="C84" s="286" t="s">
        <v>382</v>
      </c>
      <c r="F84" s="1336">
        <f>IF(F83=0,0,1/F83)</f>
        <v>43.890992239551942</v>
      </c>
      <c r="G84" s="648"/>
      <c r="I84" s="1336"/>
      <c r="J84" s="1336"/>
      <c r="K84" s="1336"/>
    </row>
    <row r="85" spans="1:16">
      <c r="A85" s="354">
        <f t="shared" si="3"/>
        <v>55</v>
      </c>
      <c r="C85" s="286" t="s">
        <v>383</v>
      </c>
      <c r="F85" s="1350">
        <f>ROUND(F84,0)</f>
        <v>44</v>
      </c>
      <c r="G85" s="1336"/>
    </row>
    <row r="86" spans="1:16">
      <c r="A86" s="354"/>
      <c r="C86" s="270"/>
      <c r="D86" s="1419"/>
      <c r="E86" s="1419"/>
      <c r="F86" s="1437"/>
      <c r="G86" s="1350"/>
    </row>
    <row r="87" spans="1:16">
      <c r="F87" s="1350"/>
      <c r="G87" s="1350"/>
    </row>
    <row r="89" spans="1:16" ht="20">
      <c r="A89" s="1543" t="str">
        <f>"Worksheet G  --  "&amp;'SWEPCO TCOS'!F8&amp;"--  Calculation of Trued-Up ARR for SPP Base Plan Upgrade Projects"</f>
        <v>Worksheet G  --  SOUTHWESTERN ELECTRIC POWER COMPANY--  Calculation of Trued-Up ARR for SPP Base Plan Upgrade Projects</v>
      </c>
      <c r="B89" s="1469"/>
      <c r="C89" s="1469"/>
      <c r="D89" s="1544"/>
      <c r="E89" s="1469"/>
      <c r="F89" s="1545"/>
      <c r="G89" s="1545"/>
      <c r="H89" s="1469"/>
      <c r="I89" s="1478"/>
      <c r="J89" s="1469"/>
      <c r="K89" s="1469"/>
      <c r="L89" s="1546"/>
      <c r="M89" s="1546"/>
      <c r="N89" s="1469"/>
      <c r="O89" s="1469"/>
      <c r="P89" s="1546"/>
    </row>
    <row r="90" spans="1:16" ht="17.5">
      <c r="A90" s="1469"/>
      <c r="B90" s="1469"/>
      <c r="C90" s="1469"/>
      <c r="D90" s="1544"/>
      <c r="E90" s="1469"/>
      <c r="F90" s="1469"/>
      <c r="G90" s="1469"/>
      <c r="H90" s="1469"/>
      <c r="I90" s="1478"/>
      <c r="J90" s="1469"/>
      <c r="K90" s="1469"/>
      <c r="L90" s="1469"/>
      <c r="M90" s="1469"/>
      <c r="N90" s="1469"/>
      <c r="O90" s="1469"/>
      <c r="P90" s="1547"/>
    </row>
    <row r="91" spans="1:16" ht="17.5" thickBot="1">
      <c r="A91" s="1469"/>
      <c r="B91" s="1548" t="s">
        <v>313</v>
      </c>
      <c r="C91" s="1549" t="s">
        <v>482</v>
      </c>
      <c r="D91" s="1544"/>
      <c r="E91" s="1469"/>
      <c r="F91" s="1469"/>
      <c r="G91" s="1469"/>
      <c r="H91" s="1469"/>
      <c r="I91" s="1478"/>
      <c r="J91" s="1478"/>
      <c r="K91" s="1479"/>
      <c r="L91" s="1478"/>
      <c r="M91" s="1478"/>
      <c r="N91" s="1478"/>
      <c r="O91" s="1479"/>
      <c r="P91" s="1469"/>
    </row>
    <row r="92" spans="1:16" ht="16" thickBot="1">
      <c r="A92" s="1469"/>
      <c r="B92" s="1469"/>
      <c r="C92" s="495"/>
      <c r="D92" s="1544"/>
      <c r="E92" s="1469"/>
      <c r="F92" s="1469"/>
      <c r="G92" s="1469"/>
      <c r="H92" s="1469"/>
      <c r="I92" s="1478"/>
      <c r="J92" s="1478"/>
      <c r="K92" s="1479"/>
      <c r="L92" s="1550">
        <f>+M17</f>
        <v>2024</v>
      </c>
      <c r="M92" s="1551" t="s">
        <v>371</v>
      </c>
      <c r="N92" s="1552" t="s">
        <v>483</v>
      </c>
      <c r="O92" s="1553" t="s">
        <v>372</v>
      </c>
      <c r="P92" s="1469"/>
    </row>
    <row r="93" spans="1:16" ht="15.5">
      <c r="A93" s="1469"/>
      <c r="B93" s="1469"/>
      <c r="C93" s="1468" t="s">
        <v>446</v>
      </c>
      <c r="D93" s="1544"/>
      <c r="E93" s="1469"/>
      <c r="F93" s="1469"/>
      <c r="G93" s="1469"/>
      <c r="H93" s="1480"/>
      <c r="I93" s="1554"/>
      <c r="J93" s="1469"/>
      <c r="K93" s="1555"/>
      <c r="L93" s="1556" t="s">
        <v>495</v>
      </c>
      <c r="M93" s="1557"/>
      <c r="N93" s="1557"/>
      <c r="O93" s="1558">
        <v>0</v>
      </c>
      <c r="P93" s="1469"/>
    </row>
    <row r="94" spans="1:16" ht="15.5">
      <c r="A94" s="1469"/>
      <c r="B94" s="1469"/>
      <c r="C94" s="1559"/>
      <c r="D94" s="1544"/>
      <c r="E94" s="1469"/>
      <c r="F94" s="1469"/>
      <c r="G94" s="1469"/>
      <c r="H94" s="1469"/>
      <c r="I94" s="1483"/>
      <c r="J94" s="1483"/>
      <c r="K94" s="1560"/>
      <c r="L94" s="1561" t="s">
        <v>496</v>
      </c>
      <c r="M94" s="1562"/>
      <c r="N94" s="1562"/>
      <c r="O94" s="1563">
        <v>0</v>
      </c>
      <c r="P94" s="1469"/>
    </row>
    <row r="95" spans="1:16" ht="13.5" thickBot="1">
      <c r="A95" s="1469"/>
      <c r="B95" s="1469"/>
      <c r="C95" s="1467" t="s">
        <v>484</v>
      </c>
      <c r="D95" s="1042"/>
      <c r="E95" s="1042"/>
      <c r="F95" s="1469"/>
      <c r="G95" s="1469"/>
      <c r="H95" s="1469"/>
      <c r="I95" s="1478"/>
      <c r="J95" s="1478"/>
      <c r="K95" s="1520"/>
      <c r="L95" s="1564" t="s">
        <v>485</v>
      </c>
      <c r="M95" s="1565"/>
      <c r="N95" s="1565"/>
      <c r="O95" s="1566">
        <v>0</v>
      </c>
      <c r="P95" s="1469"/>
    </row>
    <row r="96" spans="1:16" ht="13.5" thickBot="1">
      <c r="A96" s="1469"/>
      <c r="B96" s="1469"/>
      <c r="C96" s="1467"/>
      <c r="D96" s="1567" t="s">
        <v>337</v>
      </c>
      <c r="E96" s="1568"/>
      <c r="F96" s="1568"/>
      <c r="G96" s="1568"/>
      <c r="H96" s="1569"/>
      <c r="I96" s="1478"/>
      <c r="J96" s="1478"/>
      <c r="K96" s="1479"/>
      <c r="L96" s="1478"/>
      <c r="M96" s="1478"/>
      <c r="N96" s="1478"/>
      <c r="O96" s="1479"/>
      <c r="P96" s="1469"/>
    </row>
    <row r="97" spans="1:16" ht="13.5" thickBot="1">
      <c r="A97" s="1469"/>
      <c r="B97" s="1469"/>
      <c r="C97" s="1570" t="s">
        <v>486</v>
      </c>
      <c r="D97" s="1047"/>
      <c r="E97" s="1490" t="s">
        <v>664</v>
      </c>
      <c r="F97" s="1571"/>
      <c r="G97" s="1571"/>
      <c r="H97" s="1571"/>
      <c r="I97" s="1571"/>
      <c r="J97" s="1571"/>
      <c r="K97" s="1469"/>
      <c r="L97" s="1469"/>
      <c r="M97" s="1469"/>
      <c r="N97" s="1469"/>
      <c r="O97" s="1469"/>
      <c r="P97" s="1469"/>
    </row>
    <row r="98" spans="1:16" ht="15.5">
      <c r="A98" s="1469"/>
      <c r="B98" s="1469"/>
      <c r="C98" s="1572" t="s">
        <v>450</v>
      </c>
      <c r="D98" s="1139"/>
      <c r="E98" s="1469" t="s">
        <v>127</v>
      </c>
      <c r="F98" s="1469"/>
      <c r="G98" s="1469"/>
      <c r="H98" s="1544"/>
      <c r="I98" s="1544"/>
      <c r="J98" s="1573">
        <f>+M17</f>
        <v>2024</v>
      </c>
      <c r="K98" s="1574"/>
      <c r="L98" s="1479" t="s">
        <v>487</v>
      </c>
      <c r="M98" s="1469"/>
      <c r="N98" s="1469"/>
      <c r="O98" s="1469"/>
      <c r="P98" s="1469"/>
    </row>
    <row r="99" spans="1:16" ht="15.5">
      <c r="A99" s="1469"/>
      <c r="B99" s="1469"/>
      <c r="C99" s="1575" t="s">
        <v>452</v>
      </c>
      <c r="D99" s="1143"/>
      <c r="E99" s="1575" t="s">
        <v>453</v>
      </c>
      <c r="F99" s="1544"/>
      <c r="G99" s="1544"/>
      <c r="H99" s="1469"/>
      <c r="I99" s="1469"/>
      <c r="J99" s="1576">
        <v>0</v>
      </c>
      <c r="K99" s="1577"/>
      <c r="L99" s="1469" t="s">
        <v>489</v>
      </c>
      <c r="M99" s="1469"/>
      <c r="N99" s="1469"/>
      <c r="O99" s="1469"/>
      <c r="P99" s="1469"/>
    </row>
    <row r="100" spans="1:16" ht="15.5">
      <c r="A100" s="1469"/>
      <c r="B100" s="1469"/>
      <c r="C100" s="1575" t="s">
        <v>454</v>
      </c>
      <c r="D100" s="1143"/>
      <c r="E100" s="1575" t="s">
        <v>455</v>
      </c>
      <c r="F100" s="1544"/>
      <c r="G100" s="1544"/>
      <c r="H100" s="1469"/>
      <c r="I100" s="1469"/>
      <c r="J100" s="1578">
        <f>+F77</f>
        <v>0.1245263399019997</v>
      </c>
      <c r="K100" s="1545"/>
      <c r="L100" s="1469" t="s">
        <v>490</v>
      </c>
      <c r="M100" s="1469"/>
      <c r="N100" s="1469"/>
      <c r="O100" s="1469"/>
      <c r="P100" s="1469"/>
    </row>
    <row r="101" spans="1:16" ht="15.5">
      <c r="A101" s="1469"/>
      <c r="B101" s="1469"/>
      <c r="C101" s="1575" t="s">
        <v>457</v>
      </c>
      <c r="D101" s="1143"/>
      <c r="E101" s="1575" t="s">
        <v>458</v>
      </c>
      <c r="F101" s="1544"/>
      <c r="G101" s="1544"/>
      <c r="H101" s="1469"/>
      <c r="I101" s="1469"/>
      <c r="J101" s="1496">
        <f>IF(H93="",J100,F76)</f>
        <v>0.1245263399019997</v>
      </c>
      <c r="K101" s="1545"/>
      <c r="L101" s="1479" t="s">
        <v>459</v>
      </c>
      <c r="M101" s="1545"/>
      <c r="N101" s="1545"/>
      <c r="O101" s="1545"/>
      <c r="P101" s="1469"/>
    </row>
    <row r="102" spans="1:16" ht="16" thickBot="1">
      <c r="A102" s="1469"/>
      <c r="B102" s="1469"/>
      <c r="C102" s="1575" t="s">
        <v>460</v>
      </c>
      <c r="D102" s="1143"/>
      <c r="E102" s="1579" t="s">
        <v>461</v>
      </c>
      <c r="F102" s="1580"/>
      <c r="G102" s="1580"/>
      <c r="H102" s="1581"/>
      <c r="I102" s="1581"/>
      <c r="J102" s="1489"/>
      <c r="K102" s="1479"/>
      <c r="L102" s="1479"/>
      <c r="M102" s="1479"/>
      <c r="N102" s="1479"/>
      <c r="O102" s="1479"/>
      <c r="P102" s="1469"/>
    </row>
    <row r="103" spans="1:16" ht="39">
      <c r="A103" s="1569"/>
      <c r="B103" s="1569"/>
      <c r="C103" s="1582" t="s">
        <v>384</v>
      </c>
      <c r="D103" s="1502" t="s">
        <v>462</v>
      </c>
      <c r="E103" s="1502" t="s">
        <v>463</v>
      </c>
      <c r="F103" s="1502" t="s">
        <v>464</v>
      </c>
      <c r="G103" s="1583" t="s">
        <v>180</v>
      </c>
      <c r="H103" s="1584" t="s">
        <v>491</v>
      </c>
      <c r="I103" s="1584" t="s">
        <v>466</v>
      </c>
      <c r="J103" s="1582" t="s">
        <v>492</v>
      </c>
      <c r="K103" s="1585"/>
      <c r="L103" s="1503" t="s">
        <v>493</v>
      </c>
      <c r="M103" s="1503" t="s">
        <v>494</v>
      </c>
      <c r="N103" s="1503" t="s">
        <v>493</v>
      </c>
      <c r="O103" s="1503" t="s">
        <v>494</v>
      </c>
      <c r="P103" s="1503" t="s">
        <v>470</v>
      </c>
    </row>
    <row r="104" spans="1:16" ht="13.5" thickBot="1">
      <c r="A104" s="1469"/>
      <c r="B104" s="1469"/>
      <c r="C104" s="1586" t="s">
        <v>471</v>
      </c>
      <c r="D104" s="1587" t="s">
        <v>316</v>
      </c>
      <c r="E104" s="1586" t="s">
        <v>215</v>
      </c>
      <c r="F104" s="1586" t="s">
        <v>316</v>
      </c>
      <c r="G104" s="1586" t="s">
        <v>316</v>
      </c>
      <c r="H104" s="1507" t="s">
        <v>472</v>
      </c>
      <c r="I104" s="1504" t="s">
        <v>473</v>
      </c>
      <c r="J104" s="1586" t="s">
        <v>657</v>
      </c>
      <c r="K104" s="1588"/>
      <c r="L104" s="1506" t="s">
        <v>475</v>
      </c>
      <c r="M104" s="1506" t="s">
        <v>475</v>
      </c>
      <c r="N104" s="1506" t="s">
        <v>658</v>
      </c>
      <c r="O104" s="1506" t="s">
        <v>658</v>
      </c>
      <c r="P104" s="1506" t="s">
        <v>658</v>
      </c>
    </row>
    <row r="105" spans="1:16">
      <c r="A105" s="1469"/>
      <c r="B105" s="1469"/>
      <c r="C105" s="1589" t="s">
        <v>488</v>
      </c>
      <c r="D105" s="1568">
        <v>0</v>
      </c>
      <c r="E105" s="1515">
        <v>0</v>
      </c>
      <c r="F105" s="1590">
        <v>0</v>
      </c>
      <c r="G105" s="1591">
        <v>0</v>
      </c>
      <c r="H105" s="1592">
        <v>0</v>
      </c>
      <c r="I105" s="1593">
        <v>0</v>
      </c>
      <c r="J105" s="1594">
        <v>0</v>
      </c>
      <c r="K105" s="1594"/>
      <c r="L105" s="1595"/>
      <c r="M105" s="1596">
        <v>0</v>
      </c>
      <c r="N105" s="1595"/>
      <c r="O105" s="1596">
        <v>0</v>
      </c>
      <c r="P105" s="1596">
        <v>0</v>
      </c>
    </row>
    <row r="106" spans="1:16">
      <c r="A106" s="1469"/>
      <c r="B106" s="1544"/>
      <c r="C106" s="1589">
        <v>2014</v>
      </c>
      <c r="D106" s="1568">
        <v>0</v>
      </c>
      <c r="E106" s="1515">
        <v>0</v>
      </c>
      <c r="F106" s="1590">
        <v>0</v>
      </c>
      <c r="G106" s="1590">
        <v>0</v>
      </c>
      <c r="H106" s="1517">
        <v>0</v>
      </c>
      <c r="I106" s="1597">
        <v>0</v>
      </c>
      <c r="J106" s="1594">
        <v>0</v>
      </c>
      <c r="K106" s="1594"/>
      <c r="L106" s="1598"/>
      <c r="M106" s="1594">
        <v>0</v>
      </c>
      <c r="N106" s="1598"/>
      <c r="O106" s="1594">
        <v>0</v>
      </c>
      <c r="P106" s="1594">
        <v>0</v>
      </c>
    </row>
    <row r="107" spans="1:16">
      <c r="A107" s="1469"/>
      <c r="B107" s="1544" t="s">
        <v>337</v>
      </c>
      <c r="C107" s="1589">
        <v>2015</v>
      </c>
      <c r="D107" s="1568">
        <v>0</v>
      </c>
      <c r="E107" s="1515">
        <v>0</v>
      </c>
      <c r="F107" s="1590">
        <v>0</v>
      </c>
      <c r="G107" s="1590">
        <v>0</v>
      </c>
      <c r="H107" s="1517">
        <v>0</v>
      </c>
      <c r="I107" s="1597">
        <v>0</v>
      </c>
      <c r="J107" s="1594">
        <v>0</v>
      </c>
      <c r="K107" s="1594"/>
      <c r="L107" s="1598"/>
      <c r="M107" s="1594">
        <v>0</v>
      </c>
      <c r="N107" s="1598"/>
      <c r="O107" s="1594">
        <v>0</v>
      </c>
      <c r="P107" s="1594">
        <v>0</v>
      </c>
    </row>
    <row r="108" spans="1:16">
      <c r="A108" s="1469"/>
      <c r="B108" s="1544" t="s">
        <v>337</v>
      </c>
      <c r="C108" s="1589">
        <v>2016</v>
      </c>
      <c r="D108" s="1568">
        <v>0</v>
      </c>
      <c r="E108" s="1515">
        <v>0</v>
      </c>
      <c r="F108" s="1590">
        <v>0</v>
      </c>
      <c r="G108" s="1590">
        <v>0</v>
      </c>
      <c r="H108" s="1517">
        <v>0</v>
      </c>
      <c r="I108" s="1597">
        <v>0</v>
      </c>
      <c r="J108" s="1594">
        <v>0</v>
      </c>
      <c r="K108" s="1594"/>
      <c r="L108" s="1598"/>
      <c r="M108" s="1594">
        <v>0</v>
      </c>
      <c r="N108" s="1598"/>
      <c r="O108" s="1594">
        <v>0</v>
      </c>
      <c r="P108" s="1594">
        <v>0</v>
      </c>
    </row>
    <row r="109" spans="1:16">
      <c r="A109" s="1469"/>
      <c r="B109" s="1544" t="s">
        <v>337</v>
      </c>
      <c r="C109" s="1589">
        <v>2017</v>
      </c>
      <c r="D109" s="1568">
        <v>0</v>
      </c>
      <c r="E109" s="1515">
        <v>0</v>
      </c>
      <c r="F109" s="1590">
        <v>0</v>
      </c>
      <c r="G109" s="1590">
        <v>0</v>
      </c>
      <c r="H109" s="1517">
        <v>0</v>
      </c>
      <c r="I109" s="1597">
        <v>0</v>
      </c>
      <c r="J109" s="1594">
        <v>0</v>
      </c>
      <c r="K109" s="1594"/>
      <c r="L109" s="1598"/>
      <c r="M109" s="1594">
        <v>0</v>
      </c>
      <c r="N109" s="1598"/>
      <c r="O109" s="1594">
        <v>0</v>
      </c>
      <c r="P109" s="1594">
        <v>0</v>
      </c>
    </row>
    <row r="110" spans="1:16">
      <c r="A110" s="1469"/>
      <c r="B110" s="1544" t="s">
        <v>337</v>
      </c>
      <c r="C110" s="1589">
        <v>2018</v>
      </c>
      <c r="D110" s="1568">
        <v>0</v>
      </c>
      <c r="E110" s="1515">
        <v>0</v>
      </c>
      <c r="F110" s="1590">
        <v>0</v>
      </c>
      <c r="G110" s="1590">
        <v>0</v>
      </c>
      <c r="H110" s="1517">
        <v>0</v>
      </c>
      <c r="I110" s="1597">
        <v>0</v>
      </c>
      <c r="J110" s="1594">
        <v>0</v>
      </c>
      <c r="K110" s="1594"/>
      <c r="L110" s="1598"/>
      <c r="M110" s="1594">
        <v>0</v>
      </c>
      <c r="N110" s="1598"/>
      <c r="O110" s="1594">
        <v>0</v>
      </c>
      <c r="P110" s="1594">
        <v>0</v>
      </c>
    </row>
    <row r="111" spans="1:16">
      <c r="A111" s="1469"/>
      <c r="B111" s="1544" t="s">
        <v>337</v>
      </c>
      <c r="C111" s="1589">
        <v>2019</v>
      </c>
      <c r="D111" s="1568">
        <v>0</v>
      </c>
      <c r="E111" s="1515">
        <v>0</v>
      </c>
      <c r="F111" s="1590">
        <v>0</v>
      </c>
      <c r="G111" s="1590">
        <v>0</v>
      </c>
      <c r="H111" s="1517">
        <v>0</v>
      </c>
      <c r="I111" s="1597">
        <v>0</v>
      </c>
      <c r="J111" s="1594">
        <v>0</v>
      </c>
      <c r="K111" s="1594"/>
      <c r="L111" s="1598"/>
      <c r="M111" s="1594">
        <v>0</v>
      </c>
      <c r="N111" s="1598"/>
      <c r="O111" s="1594">
        <v>0</v>
      </c>
      <c r="P111" s="1594">
        <v>0</v>
      </c>
    </row>
    <row r="112" spans="1:16">
      <c r="A112" s="1469"/>
      <c r="B112" s="1544" t="s">
        <v>337</v>
      </c>
      <c r="C112" s="1589">
        <v>2020</v>
      </c>
      <c r="D112" s="1568">
        <v>0</v>
      </c>
      <c r="E112" s="1515">
        <v>0</v>
      </c>
      <c r="F112" s="1590">
        <v>0</v>
      </c>
      <c r="G112" s="1590">
        <v>0</v>
      </c>
      <c r="H112" s="1517">
        <v>0</v>
      </c>
      <c r="I112" s="1597">
        <v>0</v>
      </c>
      <c r="J112" s="1594">
        <v>0</v>
      </c>
      <c r="K112" s="1594"/>
      <c r="L112" s="1598"/>
      <c r="M112" s="1594">
        <v>0</v>
      </c>
      <c r="N112" s="1598"/>
      <c r="O112" s="1594">
        <v>0</v>
      </c>
      <c r="P112" s="1594">
        <v>0</v>
      </c>
    </row>
    <row r="113" spans="1:16">
      <c r="A113" s="1469"/>
      <c r="B113" s="1544" t="s">
        <v>337</v>
      </c>
      <c r="C113" s="1589">
        <v>2021</v>
      </c>
      <c r="D113" s="1568">
        <v>0</v>
      </c>
      <c r="E113" s="1515">
        <v>0</v>
      </c>
      <c r="F113" s="1590">
        <v>0</v>
      </c>
      <c r="G113" s="1590">
        <v>0</v>
      </c>
      <c r="H113" s="1517">
        <v>0</v>
      </c>
      <c r="I113" s="1597">
        <v>0</v>
      </c>
      <c r="J113" s="1594">
        <v>0</v>
      </c>
      <c r="K113" s="1594"/>
      <c r="L113" s="1598"/>
      <c r="M113" s="1594">
        <v>0</v>
      </c>
      <c r="N113" s="1598"/>
      <c r="O113" s="1594">
        <v>0</v>
      </c>
      <c r="P113" s="1594">
        <v>0</v>
      </c>
    </row>
    <row r="114" spans="1:16">
      <c r="A114" s="1469"/>
      <c r="B114" s="1544" t="s">
        <v>337</v>
      </c>
      <c r="C114" s="1589">
        <v>2022</v>
      </c>
      <c r="D114" s="1568">
        <v>0</v>
      </c>
      <c r="E114" s="1515">
        <v>0</v>
      </c>
      <c r="F114" s="1590">
        <v>0</v>
      </c>
      <c r="G114" s="1590">
        <v>0</v>
      </c>
      <c r="H114" s="1517">
        <v>0</v>
      </c>
      <c r="I114" s="1597">
        <v>0</v>
      </c>
      <c r="J114" s="1594">
        <v>0</v>
      </c>
      <c r="K114" s="1594"/>
      <c r="L114" s="1598"/>
      <c r="M114" s="1594">
        <v>0</v>
      </c>
      <c r="N114" s="1598"/>
      <c r="O114" s="1594">
        <v>0</v>
      </c>
      <c r="P114" s="1594">
        <v>0</v>
      </c>
    </row>
    <row r="115" spans="1:16">
      <c r="A115" s="1469"/>
      <c r="B115" s="1544" t="s">
        <v>337</v>
      </c>
      <c r="C115" s="1589">
        <v>2023</v>
      </c>
      <c r="D115" s="1568">
        <v>0</v>
      </c>
      <c r="E115" s="1515">
        <v>0</v>
      </c>
      <c r="F115" s="1590">
        <v>0</v>
      </c>
      <c r="G115" s="1590">
        <v>0</v>
      </c>
      <c r="H115" s="1517">
        <v>0</v>
      </c>
      <c r="I115" s="1597">
        <v>0</v>
      </c>
      <c r="J115" s="1594">
        <v>0</v>
      </c>
      <c r="K115" s="1594"/>
      <c r="L115" s="1598"/>
      <c r="M115" s="1594">
        <v>0</v>
      </c>
      <c r="N115" s="1598"/>
      <c r="O115" s="1594">
        <v>0</v>
      </c>
      <c r="P115" s="1594">
        <v>0</v>
      </c>
    </row>
    <row r="116" spans="1:16">
      <c r="A116" s="1469"/>
      <c r="B116" s="1544" t="s">
        <v>337</v>
      </c>
      <c r="C116" s="1589">
        <v>2024</v>
      </c>
      <c r="D116" s="1568">
        <v>0</v>
      </c>
      <c r="E116" s="1515">
        <v>0</v>
      </c>
      <c r="F116" s="1590">
        <v>0</v>
      </c>
      <c r="G116" s="1590">
        <v>0</v>
      </c>
      <c r="H116" s="1517">
        <v>0</v>
      </c>
      <c r="I116" s="1597">
        <v>0</v>
      </c>
      <c r="J116" s="1594">
        <v>0</v>
      </c>
      <c r="K116" s="1594"/>
      <c r="L116" s="1598"/>
      <c r="M116" s="1594">
        <v>0</v>
      </c>
      <c r="N116" s="1598"/>
      <c r="O116" s="1594">
        <v>0</v>
      </c>
      <c r="P116" s="1594">
        <v>0</v>
      </c>
    </row>
    <row r="117" spans="1:16">
      <c r="A117" s="1469"/>
      <c r="B117" s="1544" t="s">
        <v>337</v>
      </c>
      <c r="C117" s="1589">
        <v>2025</v>
      </c>
      <c r="D117" s="1568">
        <v>0</v>
      </c>
      <c r="E117" s="1515">
        <v>0</v>
      </c>
      <c r="F117" s="1590">
        <v>0</v>
      </c>
      <c r="G117" s="1590">
        <v>0</v>
      </c>
      <c r="H117" s="1517">
        <v>0</v>
      </c>
      <c r="I117" s="1597">
        <v>0</v>
      </c>
      <c r="J117" s="1594">
        <v>0</v>
      </c>
      <c r="K117" s="1594"/>
      <c r="L117" s="1598"/>
      <c r="M117" s="1594">
        <v>0</v>
      </c>
      <c r="N117" s="1598"/>
      <c r="O117" s="1594">
        <v>0</v>
      </c>
      <c r="P117" s="1594">
        <v>0</v>
      </c>
    </row>
    <row r="118" spans="1:16">
      <c r="A118" s="1469"/>
      <c r="B118" s="1544" t="s">
        <v>337</v>
      </c>
      <c r="C118" s="1589">
        <v>2026</v>
      </c>
      <c r="D118" s="1568">
        <v>0</v>
      </c>
      <c r="E118" s="1515">
        <v>0</v>
      </c>
      <c r="F118" s="1590">
        <v>0</v>
      </c>
      <c r="G118" s="1590">
        <v>0</v>
      </c>
      <c r="H118" s="1517">
        <v>0</v>
      </c>
      <c r="I118" s="1597">
        <v>0</v>
      </c>
      <c r="J118" s="1594">
        <v>0</v>
      </c>
      <c r="K118" s="1594"/>
      <c r="L118" s="1598"/>
      <c r="M118" s="1594">
        <v>0</v>
      </c>
      <c r="N118" s="1598"/>
      <c r="O118" s="1594">
        <v>0</v>
      </c>
      <c r="P118" s="1594">
        <v>0</v>
      </c>
    </row>
    <row r="119" spans="1:16">
      <c r="B119" s="1544" t="s">
        <v>337</v>
      </c>
      <c r="C119" s="1589">
        <v>2027</v>
      </c>
      <c r="D119" s="1568">
        <v>0</v>
      </c>
      <c r="E119" s="1515">
        <v>0</v>
      </c>
      <c r="F119" s="1590">
        <v>0</v>
      </c>
      <c r="G119" s="1590">
        <v>0</v>
      </c>
      <c r="H119" s="1517">
        <v>0</v>
      </c>
      <c r="I119" s="1597">
        <v>0</v>
      </c>
      <c r="J119" s="1594">
        <v>0</v>
      </c>
      <c r="K119" s="1594"/>
      <c r="L119" s="1598"/>
      <c r="M119" s="1594">
        <v>0</v>
      </c>
      <c r="N119" s="1598"/>
      <c r="O119" s="1594">
        <v>0</v>
      </c>
      <c r="P119" s="1594">
        <v>0</v>
      </c>
    </row>
    <row r="120" spans="1:16">
      <c r="B120" s="1544" t="s">
        <v>337</v>
      </c>
      <c r="C120" s="1589">
        <v>2028</v>
      </c>
      <c r="D120" s="1568">
        <v>0</v>
      </c>
      <c r="E120" s="1515">
        <v>0</v>
      </c>
      <c r="F120" s="1590">
        <v>0</v>
      </c>
      <c r="G120" s="1590">
        <v>0</v>
      </c>
      <c r="H120" s="1517">
        <v>0</v>
      </c>
      <c r="I120" s="1597">
        <v>0</v>
      </c>
      <c r="J120" s="1594">
        <v>0</v>
      </c>
      <c r="K120" s="1594"/>
      <c r="L120" s="1598"/>
      <c r="M120" s="1594">
        <v>0</v>
      </c>
      <c r="N120" s="1598"/>
      <c r="O120" s="1594">
        <v>0</v>
      </c>
      <c r="P120" s="1594">
        <v>0</v>
      </c>
    </row>
    <row r="121" spans="1:16">
      <c r="B121" s="1544" t="s">
        <v>337</v>
      </c>
      <c r="C121" s="1589">
        <v>2029</v>
      </c>
      <c r="D121" s="1568">
        <v>0</v>
      </c>
      <c r="E121" s="1515">
        <v>0</v>
      </c>
      <c r="F121" s="1590">
        <v>0</v>
      </c>
      <c r="G121" s="1590">
        <v>0</v>
      </c>
      <c r="H121" s="1517">
        <v>0</v>
      </c>
      <c r="I121" s="1597">
        <v>0</v>
      </c>
      <c r="J121" s="1594">
        <v>0</v>
      </c>
      <c r="K121" s="1594"/>
      <c r="L121" s="1598"/>
      <c r="M121" s="1594">
        <v>0</v>
      </c>
      <c r="N121" s="1598"/>
      <c r="O121" s="1594">
        <v>0</v>
      </c>
      <c r="P121" s="1594">
        <v>0</v>
      </c>
    </row>
    <row r="122" spans="1:16">
      <c r="B122" s="1544" t="s">
        <v>337</v>
      </c>
      <c r="C122" s="1589">
        <v>2030</v>
      </c>
      <c r="D122" s="1568">
        <v>0</v>
      </c>
      <c r="E122" s="1515">
        <v>0</v>
      </c>
      <c r="F122" s="1590">
        <v>0</v>
      </c>
      <c r="G122" s="1590">
        <v>0</v>
      </c>
      <c r="H122" s="1517">
        <v>0</v>
      </c>
      <c r="I122" s="1597">
        <v>0</v>
      </c>
      <c r="J122" s="1594">
        <v>0</v>
      </c>
      <c r="K122" s="1594"/>
      <c r="L122" s="1598"/>
      <c r="M122" s="1594">
        <v>0</v>
      </c>
      <c r="N122" s="1598"/>
      <c r="O122" s="1594">
        <v>0</v>
      </c>
      <c r="P122" s="1594">
        <v>0</v>
      </c>
    </row>
    <row r="123" spans="1:16">
      <c r="B123" s="1544" t="s">
        <v>337</v>
      </c>
      <c r="C123" s="1589">
        <v>2031</v>
      </c>
      <c r="D123" s="1568">
        <v>0</v>
      </c>
      <c r="E123" s="1515">
        <v>0</v>
      </c>
      <c r="F123" s="1590">
        <v>0</v>
      </c>
      <c r="G123" s="1590">
        <v>0</v>
      </c>
      <c r="H123" s="1517">
        <v>0</v>
      </c>
      <c r="I123" s="1597">
        <v>0</v>
      </c>
      <c r="J123" s="1594">
        <v>0</v>
      </c>
      <c r="K123" s="1594"/>
      <c r="L123" s="1598"/>
      <c r="M123" s="1594">
        <v>0</v>
      </c>
      <c r="N123" s="1598"/>
      <c r="O123" s="1594">
        <v>0</v>
      </c>
      <c r="P123" s="1594">
        <v>0</v>
      </c>
    </row>
    <row r="124" spans="1:16">
      <c r="B124" s="1544" t="s">
        <v>337</v>
      </c>
      <c r="C124" s="1589">
        <v>2032</v>
      </c>
      <c r="D124" s="1568">
        <v>0</v>
      </c>
      <c r="E124" s="1515">
        <v>0</v>
      </c>
      <c r="F124" s="1590">
        <v>0</v>
      </c>
      <c r="G124" s="1590">
        <v>0</v>
      </c>
      <c r="H124" s="1517">
        <v>0</v>
      </c>
      <c r="I124" s="1597">
        <v>0</v>
      </c>
      <c r="J124" s="1594">
        <v>0</v>
      </c>
      <c r="K124" s="1594"/>
      <c r="L124" s="1598"/>
      <c r="M124" s="1594">
        <v>0</v>
      </c>
      <c r="N124" s="1598"/>
      <c r="O124" s="1594">
        <v>0</v>
      </c>
      <c r="P124" s="1594">
        <v>0</v>
      </c>
    </row>
    <row r="125" spans="1:16">
      <c r="B125" s="1544" t="s">
        <v>337</v>
      </c>
      <c r="C125" s="1589">
        <v>2033</v>
      </c>
      <c r="D125" s="1568">
        <v>0</v>
      </c>
      <c r="E125" s="1515">
        <v>0</v>
      </c>
      <c r="F125" s="1590">
        <v>0</v>
      </c>
      <c r="G125" s="1590">
        <v>0</v>
      </c>
      <c r="H125" s="1517">
        <v>0</v>
      </c>
      <c r="I125" s="1597">
        <v>0</v>
      </c>
      <c r="J125" s="1594">
        <v>0</v>
      </c>
      <c r="K125" s="1594"/>
      <c r="L125" s="1598"/>
      <c r="M125" s="1594">
        <v>0</v>
      </c>
      <c r="N125" s="1598"/>
      <c r="O125" s="1594">
        <v>0</v>
      </c>
      <c r="P125" s="1594">
        <v>0</v>
      </c>
    </row>
    <row r="126" spans="1:16">
      <c r="B126" s="1544" t="s">
        <v>337</v>
      </c>
      <c r="C126" s="1589">
        <v>2034</v>
      </c>
      <c r="D126" s="1568">
        <v>0</v>
      </c>
      <c r="E126" s="1515">
        <v>0</v>
      </c>
      <c r="F126" s="1590">
        <v>0</v>
      </c>
      <c r="G126" s="1590">
        <v>0</v>
      </c>
      <c r="H126" s="1517">
        <v>0</v>
      </c>
      <c r="I126" s="1597">
        <v>0</v>
      </c>
      <c r="J126" s="1594">
        <v>0</v>
      </c>
      <c r="K126" s="1594"/>
      <c r="L126" s="1598"/>
      <c r="M126" s="1594">
        <v>0</v>
      </c>
      <c r="N126" s="1598"/>
      <c r="O126" s="1594">
        <v>0</v>
      </c>
      <c r="P126" s="1594">
        <v>0</v>
      </c>
    </row>
    <row r="127" spans="1:16">
      <c r="B127" s="1544" t="s">
        <v>337</v>
      </c>
      <c r="C127" s="1589">
        <v>2035</v>
      </c>
      <c r="D127" s="1568">
        <v>0</v>
      </c>
      <c r="E127" s="1515">
        <v>0</v>
      </c>
      <c r="F127" s="1590">
        <v>0</v>
      </c>
      <c r="G127" s="1590">
        <v>0</v>
      </c>
      <c r="H127" s="1517">
        <v>0</v>
      </c>
      <c r="I127" s="1597">
        <v>0</v>
      </c>
      <c r="J127" s="1594">
        <v>0</v>
      </c>
      <c r="K127" s="1594"/>
      <c r="L127" s="1598"/>
      <c r="M127" s="1594">
        <v>0</v>
      </c>
      <c r="N127" s="1598"/>
      <c r="O127" s="1594">
        <v>0</v>
      </c>
      <c r="P127" s="1594">
        <v>0</v>
      </c>
    </row>
    <row r="128" spans="1:16">
      <c r="B128" s="1544" t="s">
        <v>337</v>
      </c>
      <c r="C128" s="1589">
        <v>2036</v>
      </c>
      <c r="D128" s="1568">
        <v>0</v>
      </c>
      <c r="E128" s="1515">
        <v>0</v>
      </c>
      <c r="F128" s="1590">
        <v>0</v>
      </c>
      <c r="G128" s="1590">
        <v>0</v>
      </c>
      <c r="H128" s="1517">
        <v>0</v>
      </c>
      <c r="I128" s="1597">
        <v>0</v>
      </c>
      <c r="J128" s="1594">
        <v>0</v>
      </c>
      <c r="K128" s="1594"/>
      <c r="L128" s="1598"/>
      <c r="M128" s="1594">
        <v>0</v>
      </c>
      <c r="N128" s="1598"/>
      <c r="O128" s="1594">
        <v>0</v>
      </c>
      <c r="P128" s="1594">
        <v>0</v>
      </c>
    </row>
    <row r="129" spans="2:18">
      <c r="B129" s="1544" t="s">
        <v>337</v>
      </c>
      <c r="C129" s="1589">
        <v>2037</v>
      </c>
      <c r="D129" s="1568">
        <v>0</v>
      </c>
      <c r="E129" s="1515">
        <v>0</v>
      </c>
      <c r="F129" s="1590">
        <v>0</v>
      </c>
      <c r="G129" s="1590">
        <v>0</v>
      </c>
      <c r="H129" s="1517">
        <v>0</v>
      </c>
      <c r="I129" s="1597">
        <v>0</v>
      </c>
      <c r="J129" s="1594">
        <v>0</v>
      </c>
      <c r="K129" s="1594"/>
      <c r="L129" s="1598"/>
      <c r="M129" s="1594">
        <v>0</v>
      </c>
      <c r="N129" s="1598"/>
      <c r="O129" s="1594">
        <v>0</v>
      </c>
      <c r="P129" s="1594">
        <v>0</v>
      </c>
    </row>
    <row r="130" spans="2:18">
      <c r="B130" s="1544" t="s">
        <v>337</v>
      </c>
      <c r="C130" s="1589">
        <v>2038</v>
      </c>
      <c r="D130" s="1568">
        <v>0</v>
      </c>
      <c r="E130" s="1515">
        <v>0</v>
      </c>
      <c r="F130" s="1590">
        <v>0</v>
      </c>
      <c r="G130" s="1590">
        <v>0</v>
      </c>
      <c r="H130" s="1517">
        <v>0</v>
      </c>
      <c r="I130" s="1597">
        <v>0</v>
      </c>
      <c r="J130" s="1594">
        <v>0</v>
      </c>
      <c r="K130" s="1594"/>
      <c r="L130" s="1598"/>
      <c r="M130" s="1594">
        <v>0</v>
      </c>
      <c r="N130" s="1598"/>
      <c r="O130" s="1594">
        <v>0</v>
      </c>
      <c r="P130" s="1594">
        <v>0</v>
      </c>
    </row>
    <row r="131" spans="2:18">
      <c r="B131" s="1544" t="s">
        <v>337</v>
      </c>
      <c r="C131" s="1589">
        <v>2039</v>
      </c>
      <c r="D131" s="1568">
        <v>0</v>
      </c>
      <c r="E131" s="1515">
        <v>0</v>
      </c>
      <c r="F131" s="1590">
        <v>0</v>
      </c>
      <c r="G131" s="1590">
        <v>0</v>
      </c>
      <c r="H131" s="1517">
        <v>0</v>
      </c>
      <c r="I131" s="1597">
        <v>0</v>
      </c>
      <c r="J131" s="1594">
        <v>0</v>
      </c>
      <c r="K131" s="1594"/>
      <c r="L131" s="1598"/>
      <c r="M131" s="1594">
        <v>0</v>
      </c>
      <c r="N131" s="1598"/>
      <c r="O131" s="1594">
        <v>0</v>
      </c>
      <c r="P131" s="1594">
        <v>0</v>
      </c>
    </row>
    <row r="132" spans="2:18">
      <c r="B132" s="1544" t="s">
        <v>337</v>
      </c>
      <c r="C132" s="1589">
        <v>2040</v>
      </c>
      <c r="D132" s="1568">
        <v>0</v>
      </c>
      <c r="E132" s="1515">
        <v>0</v>
      </c>
      <c r="F132" s="1590">
        <v>0</v>
      </c>
      <c r="G132" s="1590">
        <v>0</v>
      </c>
      <c r="H132" s="1517">
        <v>0</v>
      </c>
      <c r="I132" s="1597">
        <v>0</v>
      </c>
      <c r="J132" s="1594">
        <v>0</v>
      </c>
      <c r="K132" s="1594"/>
      <c r="L132" s="1598"/>
      <c r="M132" s="1594">
        <v>0</v>
      </c>
      <c r="N132" s="1598"/>
      <c r="O132" s="1594">
        <v>0</v>
      </c>
      <c r="P132" s="1594">
        <v>0</v>
      </c>
      <c r="R132" s="1414"/>
    </row>
    <row r="133" spans="2:18">
      <c r="B133" s="1544" t="s">
        <v>337</v>
      </c>
      <c r="C133" s="1589">
        <v>2041</v>
      </c>
      <c r="D133" s="1568">
        <v>0</v>
      </c>
      <c r="E133" s="1515">
        <v>0</v>
      </c>
      <c r="F133" s="1590">
        <v>0</v>
      </c>
      <c r="G133" s="1590">
        <v>0</v>
      </c>
      <c r="H133" s="1517">
        <v>0</v>
      </c>
      <c r="I133" s="1597">
        <v>0</v>
      </c>
      <c r="J133" s="1594">
        <v>0</v>
      </c>
      <c r="K133" s="1594"/>
      <c r="L133" s="1598"/>
      <c r="M133" s="1594">
        <v>0</v>
      </c>
      <c r="N133" s="1598"/>
      <c r="O133" s="1594">
        <v>0</v>
      </c>
      <c r="P133" s="1594">
        <v>0</v>
      </c>
    </row>
    <row r="134" spans="2:18">
      <c r="B134" s="1544" t="s">
        <v>337</v>
      </c>
      <c r="C134" s="1589">
        <v>2042</v>
      </c>
      <c r="D134" s="1568">
        <v>0</v>
      </c>
      <c r="E134" s="1515">
        <v>0</v>
      </c>
      <c r="F134" s="1590">
        <v>0</v>
      </c>
      <c r="G134" s="1590">
        <v>0</v>
      </c>
      <c r="H134" s="1517">
        <v>0</v>
      </c>
      <c r="I134" s="1597">
        <v>0</v>
      </c>
      <c r="J134" s="1594">
        <v>0</v>
      </c>
      <c r="K134" s="1594"/>
      <c r="L134" s="1598"/>
      <c r="M134" s="1594">
        <v>0</v>
      </c>
      <c r="N134" s="1598"/>
      <c r="O134" s="1594">
        <v>0</v>
      </c>
      <c r="P134" s="1594">
        <v>0</v>
      </c>
    </row>
    <row r="135" spans="2:18">
      <c r="B135" s="1544" t="s">
        <v>337</v>
      </c>
      <c r="C135" s="1589">
        <v>2043</v>
      </c>
      <c r="D135" s="1568">
        <v>0</v>
      </c>
      <c r="E135" s="1515">
        <v>0</v>
      </c>
      <c r="F135" s="1590">
        <v>0</v>
      </c>
      <c r="G135" s="1590">
        <v>0</v>
      </c>
      <c r="H135" s="1517">
        <v>0</v>
      </c>
      <c r="I135" s="1597">
        <v>0</v>
      </c>
      <c r="J135" s="1594">
        <v>0</v>
      </c>
      <c r="K135" s="1594"/>
      <c r="L135" s="1598"/>
      <c r="M135" s="1594">
        <v>0</v>
      </c>
      <c r="N135" s="1598"/>
      <c r="O135" s="1594">
        <v>0</v>
      </c>
      <c r="P135" s="1594">
        <v>0</v>
      </c>
    </row>
    <row r="136" spans="2:18">
      <c r="B136" s="1544" t="s">
        <v>337</v>
      </c>
      <c r="C136" s="1589">
        <v>2044</v>
      </c>
      <c r="D136" s="1568">
        <v>0</v>
      </c>
      <c r="E136" s="1515">
        <v>0</v>
      </c>
      <c r="F136" s="1590">
        <v>0</v>
      </c>
      <c r="G136" s="1590">
        <v>0</v>
      </c>
      <c r="H136" s="1517">
        <v>0</v>
      </c>
      <c r="I136" s="1597">
        <v>0</v>
      </c>
      <c r="J136" s="1594">
        <v>0</v>
      </c>
      <c r="K136" s="1594"/>
      <c r="L136" s="1598"/>
      <c r="M136" s="1594">
        <v>0</v>
      </c>
      <c r="N136" s="1598"/>
      <c r="O136" s="1594">
        <v>0</v>
      </c>
      <c r="P136" s="1594">
        <v>0</v>
      </c>
    </row>
    <row r="137" spans="2:18">
      <c r="B137" s="1544" t="s">
        <v>337</v>
      </c>
      <c r="C137" s="1589">
        <v>2045</v>
      </c>
      <c r="D137" s="1568">
        <v>0</v>
      </c>
      <c r="E137" s="1515">
        <v>0</v>
      </c>
      <c r="F137" s="1590">
        <v>0</v>
      </c>
      <c r="G137" s="1590">
        <v>0</v>
      </c>
      <c r="H137" s="1517">
        <v>0</v>
      </c>
      <c r="I137" s="1597">
        <v>0</v>
      </c>
      <c r="J137" s="1594">
        <v>0</v>
      </c>
      <c r="K137" s="1594"/>
      <c r="L137" s="1598"/>
      <c r="M137" s="1594">
        <v>0</v>
      </c>
      <c r="N137" s="1598"/>
      <c r="O137" s="1594">
        <v>0</v>
      </c>
      <c r="P137" s="1594">
        <v>0</v>
      </c>
    </row>
    <row r="138" spans="2:18">
      <c r="B138" s="1544" t="s">
        <v>337</v>
      </c>
      <c r="C138" s="1589">
        <v>2046</v>
      </c>
      <c r="D138" s="1568">
        <v>0</v>
      </c>
      <c r="E138" s="1515">
        <v>0</v>
      </c>
      <c r="F138" s="1590">
        <v>0</v>
      </c>
      <c r="G138" s="1590">
        <v>0</v>
      </c>
      <c r="H138" s="1517">
        <v>0</v>
      </c>
      <c r="I138" s="1597">
        <v>0</v>
      </c>
      <c r="J138" s="1594">
        <v>0</v>
      </c>
      <c r="K138" s="1594"/>
      <c r="L138" s="1598"/>
      <c r="M138" s="1594">
        <v>0</v>
      </c>
      <c r="N138" s="1598"/>
      <c r="O138" s="1594">
        <v>0</v>
      </c>
      <c r="P138" s="1594">
        <v>0</v>
      </c>
    </row>
    <row r="139" spans="2:18">
      <c r="B139" s="1544" t="s">
        <v>337</v>
      </c>
      <c r="C139" s="1589">
        <v>2047</v>
      </c>
      <c r="D139" s="1568">
        <v>0</v>
      </c>
      <c r="E139" s="1515">
        <v>0</v>
      </c>
      <c r="F139" s="1590">
        <v>0</v>
      </c>
      <c r="G139" s="1590">
        <v>0</v>
      </c>
      <c r="H139" s="1517">
        <v>0</v>
      </c>
      <c r="I139" s="1597">
        <v>0</v>
      </c>
      <c r="J139" s="1594">
        <v>0</v>
      </c>
      <c r="K139" s="1594"/>
      <c r="L139" s="1598"/>
      <c r="M139" s="1594">
        <v>0</v>
      </c>
      <c r="N139" s="1598"/>
      <c r="O139" s="1594">
        <v>0</v>
      </c>
      <c r="P139" s="1594">
        <v>0</v>
      </c>
    </row>
    <row r="140" spans="2:18">
      <c r="B140" s="1544" t="s">
        <v>337</v>
      </c>
      <c r="C140" s="1589">
        <v>2048</v>
      </c>
      <c r="D140" s="1568">
        <v>0</v>
      </c>
      <c r="E140" s="1515">
        <v>0</v>
      </c>
      <c r="F140" s="1590">
        <v>0</v>
      </c>
      <c r="G140" s="1590">
        <v>0</v>
      </c>
      <c r="H140" s="1517">
        <v>0</v>
      </c>
      <c r="I140" s="1597">
        <v>0</v>
      </c>
      <c r="J140" s="1594">
        <v>0</v>
      </c>
      <c r="K140" s="1594"/>
      <c r="L140" s="1598"/>
      <c r="M140" s="1594">
        <v>0</v>
      </c>
      <c r="N140" s="1598"/>
      <c r="O140" s="1594">
        <v>0</v>
      </c>
      <c r="P140" s="1594">
        <v>0</v>
      </c>
    </row>
    <row r="141" spans="2:18">
      <c r="B141" s="1544" t="s">
        <v>337</v>
      </c>
      <c r="C141" s="1589">
        <v>2049</v>
      </c>
      <c r="D141" s="1568">
        <v>0</v>
      </c>
      <c r="E141" s="1515">
        <v>0</v>
      </c>
      <c r="F141" s="1590">
        <v>0</v>
      </c>
      <c r="G141" s="1590">
        <v>0</v>
      </c>
      <c r="H141" s="1517">
        <v>0</v>
      </c>
      <c r="I141" s="1597">
        <v>0</v>
      </c>
      <c r="J141" s="1594">
        <v>0</v>
      </c>
      <c r="K141" s="1594"/>
      <c r="L141" s="1598"/>
      <c r="M141" s="1594">
        <v>0</v>
      </c>
      <c r="N141" s="1598"/>
      <c r="O141" s="1594">
        <v>0</v>
      </c>
      <c r="P141" s="1594">
        <v>0</v>
      </c>
    </row>
    <row r="142" spans="2:18">
      <c r="B142" s="1544" t="s">
        <v>337</v>
      </c>
      <c r="C142" s="1589">
        <v>2050</v>
      </c>
      <c r="D142" s="1568">
        <v>0</v>
      </c>
      <c r="E142" s="1515">
        <v>0</v>
      </c>
      <c r="F142" s="1590">
        <v>0</v>
      </c>
      <c r="G142" s="1590">
        <v>0</v>
      </c>
      <c r="H142" s="1517">
        <v>0</v>
      </c>
      <c r="I142" s="1597">
        <v>0</v>
      </c>
      <c r="J142" s="1594">
        <v>0</v>
      </c>
      <c r="K142" s="1594"/>
      <c r="L142" s="1598"/>
      <c r="M142" s="1594">
        <v>0</v>
      </c>
      <c r="N142" s="1598"/>
      <c r="O142" s="1594">
        <v>0</v>
      </c>
      <c r="P142" s="1594">
        <v>0</v>
      </c>
    </row>
    <row r="143" spans="2:18">
      <c r="B143" s="1544" t="s">
        <v>337</v>
      </c>
      <c r="C143" s="1589">
        <v>2051</v>
      </c>
      <c r="D143" s="1568">
        <v>0</v>
      </c>
      <c r="E143" s="1515">
        <v>0</v>
      </c>
      <c r="F143" s="1590">
        <v>0</v>
      </c>
      <c r="G143" s="1590">
        <v>0</v>
      </c>
      <c r="H143" s="1517">
        <v>0</v>
      </c>
      <c r="I143" s="1597">
        <v>0</v>
      </c>
      <c r="J143" s="1594">
        <v>0</v>
      </c>
      <c r="K143" s="1594"/>
      <c r="L143" s="1598"/>
      <c r="M143" s="1594">
        <v>0</v>
      </c>
      <c r="N143" s="1598"/>
      <c r="O143" s="1594">
        <v>0</v>
      </c>
      <c r="P143" s="1594">
        <v>0</v>
      </c>
    </row>
    <row r="144" spans="2:18">
      <c r="B144" s="1544" t="s">
        <v>337</v>
      </c>
      <c r="C144" s="1589">
        <v>2052</v>
      </c>
      <c r="D144" s="1568">
        <v>0</v>
      </c>
      <c r="E144" s="1515">
        <v>0</v>
      </c>
      <c r="F144" s="1590">
        <v>0</v>
      </c>
      <c r="G144" s="1590">
        <v>0</v>
      </c>
      <c r="H144" s="1517">
        <v>0</v>
      </c>
      <c r="I144" s="1597">
        <v>0</v>
      </c>
      <c r="J144" s="1594">
        <v>0</v>
      </c>
      <c r="K144" s="1594"/>
      <c r="L144" s="1598"/>
      <c r="M144" s="1594">
        <v>0</v>
      </c>
      <c r="N144" s="1598"/>
      <c r="O144" s="1594">
        <v>0</v>
      </c>
      <c r="P144" s="1594">
        <v>0</v>
      </c>
    </row>
    <row r="145" spans="2:16">
      <c r="B145" s="1544" t="s">
        <v>337</v>
      </c>
      <c r="C145" s="1589">
        <v>2053</v>
      </c>
      <c r="D145" s="1568">
        <v>0</v>
      </c>
      <c r="E145" s="1515">
        <v>0</v>
      </c>
      <c r="F145" s="1590">
        <v>0</v>
      </c>
      <c r="G145" s="1590">
        <v>0</v>
      </c>
      <c r="H145" s="1517">
        <v>0</v>
      </c>
      <c r="I145" s="1597">
        <v>0</v>
      </c>
      <c r="J145" s="1594">
        <v>0</v>
      </c>
      <c r="K145" s="1594"/>
      <c r="L145" s="1598"/>
      <c r="M145" s="1594">
        <v>0</v>
      </c>
      <c r="N145" s="1598"/>
      <c r="O145" s="1594">
        <v>0</v>
      </c>
      <c r="P145" s="1594">
        <v>0</v>
      </c>
    </row>
    <row r="146" spans="2:16">
      <c r="B146" s="1544" t="s">
        <v>337</v>
      </c>
      <c r="C146" s="1589">
        <v>2054</v>
      </c>
      <c r="D146" s="1568">
        <v>0</v>
      </c>
      <c r="E146" s="1515">
        <v>0</v>
      </c>
      <c r="F146" s="1590">
        <v>0</v>
      </c>
      <c r="G146" s="1590">
        <v>0</v>
      </c>
      <c r="H146" s="1517">
        <v>0</v>
      </c>
      <c r="I146" s="1597">
        <v>0</v>
      </c>
      <c r="J146" s="1594">
        <v>0</v>
      </c>
      <c r="K146" s="1594"/>
      <c r="L146" s="1598"/>
      <c r="M146" s="1594">
        <v>0</v>
      </c>
      <c r="N146" s="1598"/>
      <c r="O146" s="1594">
        <v>0</v>
      </c>
      <c r="P146" s="1594">
        <v>0</v>
      </c>
    </row>
    <row r="147" spans="2:16">
      <c r="B147" s="1544" t="s">
        <v>337</v>
      </c>
      <c r="C147" s="1589">
        <v>2055</v>
      </c>
      <c r="D147" s="1568">
        <v>0</v>
      </c>
      <c r="E147" s="1515">
        <v>0</v>
      </c>
      <c r="F147" s="1590">
        <v>0</v>
      </c>
      <c r="G147" s="1590">
        <v>0</v>
      </c>
      <c r="H147" s="1517">
        <v>0</v>
      </c>
      <c r="I147" s="1597">
        <v>0</v>
      </c>
      <c r="J147" s="1594">
        <v>0</v>
      </c>
      <c r="K147" s="1594"/>
      <c r="L147" s="1598"/>
      <c r="M147" s="1594">
        <v>0</v>
      </c>
      <c r="N147" s="1598"/>
      <c r="O147" s="1594">
        <v>0</v>
      </c>
      <c r="P147" s="1594">
        <v>0</v>
      </c>
    </row>
    <row r="148" spans="2:16">
      <c r="B148" s="1544" t="s">
        <v>337</v>
      </c>
      <c r="C148" s="1589">
        <v>2056</v>
      </c>
      <c r="D148" s="1568">
        <v>0</v>
      </c>
      <c r="E148" s="1515">
        <v>0</v>
      </c>
      <c r="F148" s="1590">
        <v>0</v>
      </c>
      <c r="G148" s="1590">
        <v>0</v>
      </c>
      <c r="H148" s="1517">
        <v>0</v>
      </c>
      <c r="I148" s="1597">
        <v>0</v>
      </c>
      <c r="J148" s="1594">
        <v>0</v>
      </c>
      <c r="K148" s="1594"/>
      <c r="L148" s="1598"/>
      <c r="M148" s="1594">
        <v>0</v>
      </c>
      <c r="N148" s="1598"/>
      <c r="O148" s="1594">
        <v>0</v>
      </c>
      <c r="P148" s="1594">
        <v>0</v>
      </c>
    </row>
    <row r="149" spans="2:16">
      <c r="B149" s="1544" t="s">
        <v>337</v>
      </c>
      <c r="C149" s="1589">
        <v>2057</v>
      </c>
      <c r="D149" s="1568">
        <v>0</v>
      </c>
      <c r="E149" s="1515">
        <v>0</v>
      </c>
      <c r="F149" s="1590">
        <v>0</v>
      </c>
      <c r="G149" s="1590">
        <v>0</v>
      </c>
      <c r="H149" s="1517">
        <v>0</v>
      </c>
      <c r="I149" s="1597">
        <v>0</v>
      </c>
      <c r="J149" s="1594">
        <v>0</v>
      </c>
      <c r="K149" s="1594"/>
      <c r="L149" s="1598"/>
      <c r="M149" s="1594">
        <v>0</v>
      </c>
      <c r="N149" s="1598"/>
      <c r="O149" s="1594">
        <v>0</v>
      </c>
      <c r="P149" s="1594">
        <v>0</v>
      </c>
    </row>
    <row r="150" spans="2:16">
      <c r="B150" s="1544" t="s">
        <v>337</v>
      </c>
      <c r="C150" s="1589">
        <v>2058</v>
      </c>
      <c r="D150" s="1568">
        <v>0</v>
      </c>
      <c r="E150" s="1515">
        <v>0</v>
      </c>
      <c r="F150" s="1590">
        <v>0</v>
      </c>
      <c r="G150" s="1590">
        <v>0</v>
      </c>
      <c r="H150" s="1517">
        <v>0</v>
      </c>
      <c r="I150" s="1597">
        <v>0</v>
      </c>
      <c r="J150" s="1594">
        <v>0</v>
      </c>
      <c r="K150" s="1594"/>
      <c r="L150" s="1598"/>
      <c r="M150" s="1594">
        <v>0</v>
      </c>
      <c r="N150" s="1598"/>
      <c r="O150" s="1594">
        <v>0</v>
      </c>
      <c r="P150" s="1594">
        <v>0</v>
      </c>
    </row>
    <row r="151" spans="2:16">
      <c r="B151" s="1544" t="s">
        <v>337</v>
      </c>
      <c r="C151" s="1589">
        <v>2059</v>
      </c>
      <c r="D151" s="1568">
        <v>0</v>
      </c>
      <c r="E151" s="1515">
        <v>0</v>
      </c>
      <c r="F151" s="1590">
        <v>0</v>
      </c>
      <c r="G151" s="1590">
        <v>0</v>
      </c>
      <c r="H151" s="1517">
        <v>0</v>
      </c>
      <c r="I151" s="1597">
        <v>0</v>
      </c>
      <c r="J151" s="1594">
        <v>0</v>
      </c>
      <c r="K151" s="1594"/>
      <c r="L151" s="1598"/>
      <c r="M151" s="1594">
        <v>0</v>
      </c>
      <c r="N151" s="1598"/>
      <c r="O151" s="1594">
        <v>0</v>
      </c>
      <c r="P151" s="1594">
        <v>0</v>
      </c>
    </row>
    <row r="152" spans="2:16">
      <c r="B152" s="1544" t="s">
        <v>337</v>
      </c>
      <c r="C152" s="1589">
        <v>2060</v>
      </c>
      <c r="D152" s="1568">
        <v>0</v>
      </c>
      <c r="E152" s="1515">
        <v>0</v>
      </c>
      <c r="F152" s="1590">
        <v>0</v>
      </c>
      <c r="G152" s="1590">
        <v>0</v>
      </c>
      <c r="H152" s="1517">
        <v>0</v>
      </c>
      <c r="I152" s="1597">
        <v>0</v>
      </c>
      <c r="J152" s="1594">
        <v>0</v>
      </c>
      <c r="K152" s="1594"/>
      <c r="L152" s="1598"/>
      <c r="M152" s="1594">
        <v>0</v>
      </c>
      <c r="N152" s="1598"/>
      <c r="O152" s="1594">
        <v>0</v>
      </c>
      <c r="P152" s="1594">
        <v>0</v>
      </c>
    </row>
    <row r="153" spans="2:16">
      <c r="B153" s="1544" t="s">
        <v>337</v>
      </c>
      <c r="C153" s="1589">
        <v>2061</v>
      </c>
      <c r="D153" s="1568">
        <v>0</v>
      </c>
      <c r="E153" s="1515">
        <v>0</v>
      </c>
      <c r="F153" s="1590">
        <v>0</v>
      </c>
      <c r="G153" s="1590">
        <v>0</v>
      </c>
      <c r="H153" s="1517">
        <v>0</v>
      </c>
      <c r="I153" s="1597">
        <v>0</v>
      </c>
      <c r="J153" s="1594">
        <v>0</v>
      </c>
      <c r="K153" s="1594"/>
      <c r="L153" s="1598"/>
      <c r="M153" s="1594">
        <v>0</v>
      </c>
      <c r="N153" s="1598"/>
      <c r="O153" s="1594">
        <v>0</v>
      </c>
      <c r="P153" s="1594">
        <v>0</v>
      </c>
    </row>
    <row r="154" spans="2:16">
      <c r="B154" s="1544" t="s">
        <v>337</v>
      </c>
      <c r="C154" s="1589">
        <v>2062</v>
      </c>
      <c r="D154" s="1568">
        <v>0</v>
      </c>
      <c r="E154" s="1515">
        <v>0</v>
      </c>
      <c r="F154" s="1590">
        <v>0</v>
      </c>
      <c r="G154" s="1590">
        <v>0</v>
      </c>
      <c r="H154" s="1517">
        <v>0</v>
      </c>
      <c r="I154" s="1597">
        <v>0</v>
      </c>
      <c r="J154" s="1594">
        <v>0</v>
      </c>
      <c r="K154" s="1594"/>
      <c r="L154" s="1598"/>
      <c r="M154" s="1594">
        <v>0</v>
      </c>
      <c r="N154" s="1598"/>
      <c r="O154" s="1594">
        <v>0</v>
      </c>
      <c r="P154" s="1594">
        <v>0</v>
      </c>
    </row>
    <row r="155" spans="2:16">
      <c r="B155" s="1544" t="s">
        <v>337</v>
      </c>
      <c r="C155" s="1589">
        <v>2063</v>
      </c>
      <c r="D155" s="1568">
        <v>0</v>
      </c>
      <c r="E155" s="1515">
        <v>0</v>
      </c>
      <c r="F155" s="1590">
        <v>0</v>
      </c>
      <c r="G155" s="1590">
        <v>0</v>
      </c>
      <c r="H155" s="1517">
        <v>0</v>
      </c>
      <c r="I155" s="1597">
        <v>0</v>
      </c>
      <c r="J155" s="1594">
        <v>0</v>
      </c>
      <c r="K155" s="1594"/>
      <c r="L155" s="1598"/>
      <c r="M155" s="1594">
        <v>0</v>
      </c>
      <c r="N155" s="1598"/>
      <c r="O155" s="1594">
        <v>0</v>
      </c>
      <c r="P155" s="1594">
        <v>0</v>
      </c>
    </row>
    <row r="156" spans="2:16">
      <c r="B156" s="1544" t="s">
        <v>337</v>
      </c>
      <c r="C156" s="1589">
        <v>2064</v>
      </c>
      <c r="D156" s="1568">
        <v>0</v>
      </c>
      <c r="E156" s="1515">
        <v>0</v>
      </c>
      <c r="F156" s="1590">
        <v>0</v>
      </c>
      <c r="G156" s="1590">
        <v>0</v>
      </c>
      <c r="H156" s="1517">
        <v>0</v>
      </c>
      <c r="I156" s="1597">
        <v>0</v>
      </c>
      <c r="J156" s="1594">
        <v>0</v>
      </c>
      <c r="K156" s="1594"/>
      <c r="L156" s="1598"/>
      <c r="M156" s="1594">
        <v>0</v>
      </c>
      <c r="N156" s="1598"/>
      <c r="O156" s="1594">
        <v>0</v>
      </c>
      <c r="P156" s="1594">
        <v>0</v>
      </c>
    </row>
    <row r="157" spans="2:16">
      <c r="B157" s="1544" t="s">
        <v>337</v>
      </c>
      <c r="C157" s="1589">
        <v>2065</v>
      </c>
      <c r="D157" s="1568">
        <v>0</v>
      </c>
      <c r="E157" s="1515">
        <v>0</v>
      </c>
      <c r="F157" s="1590">
        <v>0</v>
      </c>
      <c r="G157" s="1590">
        <v>0</v>
      </c>
      <c r="H157" s="1517">
        <v>0</v>
      </c>
      <c r="I157" s="1597">
        <v>0</v>
      </c>
      <c r="J157" s="1594">
        <v>0</v>
      </c>
      <c r="K157" s="1594"/>
      <c r="L157" s="1598"/>
      <c r="M157" s="1594">
        <v>0</v>
      </c>
      <c r="N157" s="1598"/>
      <c r="O157" s="1594">
        <v>0</v>
      </c>
      <c r="P157" s="1594">
        <v>0</v>
      </c>
    </row>
    <row r="158" spans="2:16">
      <c r="B158" s="1544" t="s">
        <v>337</v>
      </c>
      <c r="C158" s="1589">
        <v>2066</v>
      </c>
      <c r="D158" s="1568">
        <v>0</v>
      </c>
      <c r="E158" s="1515">
        <v>0</v>
      </c>
      <c r="F158" s="1590">
        <v>0</v>
      </c>
      <c r="G158" s="1590">
        <v>0</v>
      </c>
      <c r="H158" s="1517">
        <v>0</v>
      </c>
      <c r="I158" s="1597">
        <v>0</v>
      </c>
      <c r="J158" s="1594">
        <v>0</v>
      </c>
      <c r="K158" s="1594"/>
      <c r="L158" s="1598"/>
      <c r="M158" s="1594">
        <v>0</v>
      </c>
      <c r="N158" s="1598"/>
      <c r="O158" s="1594">
        <v>0</v>
      </c>
      <c r="P158" s="1594">
        <v>0</v>
      </c>
    </row>
    <row r="159" spans="2:16">
      <c r="B159" s="1544" t="s">
        <v>337</v>
      </c>
      <c r="C159" s="1589">
        <v>2067</v>
      </c>
      <c r="D159" s="1568">
        <v>0</v>
      </c>
      <c r="E159" s="1515">
        <v>0</v>
      </c>
      <c r="F159" s="1590">
        <v>0</v>
      </c>
      <c r="G159" s="1590">
        <v>0</v>
      </c>
      <c r="H159" s="1517">
        <v>0</v>
      </c>
      <c r="I159" s="1597">
        <v>0</v>
      </c>
      <c r="J159" s="1594">
        <v>0</v>
      </c>
      <c r="K159" s="1594"/>
      <c r="L159" s="1598"/>
      <c r="M159" s="1594">
        <v>0</v>
      </c>
      <c r="N159" s="1598"/>
      <c r="O159" s="1594">
        <v>0</v>
      </c>
      <c r="P159" s="1594">
        <v>0</v>
      </c>
    </row>
    <row r="160" spans="2:16" ht="13" thickBot="1">
      <c r="B160" s="1544" t="s">
        <v>337</v>
      </c>
      <c r="C160" s="1599">
        <v>2068</v>
      </c>
      <c r="D160" s="1600">
        <v>0</v>
      </c>
      <c r="E160" s="1520">
        <v>0</v>
      </c>
      <c r="F160" s="1601">
        <v>0</v>
      </c>
      <c r="G160" s="1601">
        <v>0</v>
      </c>
      <c r="H160" s="1521">
        <v>0</v>
      </c>
      <c r="I160" s="1602">
        <v>0</v>
      </c>
      <c r="J160" s="1603">
        <v>0</v>
      </c>
      <c r="K160" s="1594"/>
      <c r="L160" s="1604"/>
      <c r="M160" s="1603">
        <v>0</v>
      </c>
      <c r="N160" s="1604"/>
      <c r="O160" s="1603">
        <v>0</v>
      </c>
      <c r="P160" s="1603">
        <v>0</v>
      </c>
    </row>
    <row r="161" spans="2:16">
      <c r="B161" s="1469"/>
      <c r="C161" s="1568" t="s">
        <v>476</v>
      </c>
      <c r="D161" s="1479"/>
      <c r="E161" s="1479">
        <v>1035552</v>
      </c>
      <c r="F161" s="1479"/>
      <c r="G161" s="1479"/>
      <c r="H161" s="1479">
        <v>4670143.8157202108</v>
      </c>
      <c r="I161" s="1479">
        <v>4670143.8157202108</v>
      </c>
      <c r="J161" s="1479">
        <v>0</v>
      </c>
      <c r="K161" s="1479"/>
      <c r="L161" s="1479"/>
      <c r="M161" s="1479"/>
      <c r="N161" s="1479"/>
      <c r="O161" s="1479"/>
      <c r="P161" s="1469"/>
    </row>
    <row r="162" spans="2:16">
      <c r="B162" s="1469"/>
      <c r="C162" s="1469" t="s">
        <v>662</v>
      </c>
      <c r="D162" s="1544"/>
      <c r="E162" s="1469"/>
      <c r="F162" s="1469"/>
      <c r="G162" s="1469"/>
      <c r="H162" s="1469"/>
      <c r="I162" s="1478"/>
      <c r="J162" s="1478"/>
      <c r="K162" s="1479"/>
      <c r="L162" s="1478"/>
      <c r="M162" s="1478"/>
      <c r="N162" s="1478"/>
      <c r="O162" s="1478"/>
      <c r="P162" s="1469"/>
    </row>
    <row r="163" spans="2:16">
      <c r="B163" s="1469"/>
      <c r="C163" s="1469"/>
      <c r="D163" s="1544"/>
      <c r="E163" s="1469"/>
      <c r="F163" s="1469"/>
      <c r="G163" s="1469"/>
      <c r="H163" s="1469"/>
      <c r="I163" s="1478"/>
      <c r="J163" s="1478"/>
      <c r="K163" s="1479"/>
      <c r="L163" s="1478"/>
      <c r="M163" s="1478"/>
      <c r="N163" s="1478"/>
      <c r="O163" s="1478"/>
      <c r="P163" s="1469"/>
    </row>
    <row r="164" spans="2:16" ht="13">
      <c r="B164" s="1469"/>
      <c r="C164" s="1605" t="s">
        <v>663</v>
      </c>
      <c r="D164" s="1544"/>
      <c r="E164" s="1469"/>
      <c r="F164" s="1469"/>
      <c r="G164" s="1469"/>
      <c r="H164" s="1469"/>
      <c r="I164" s="1478"/>
      <c r="J164" s="1478"/>
      <c r="K164" s="1479"/>
      <c r="L164" s="1478"/>
      <c r="M164" s="1478"/>
      <c r="N164" s="1478"/>
      <c r="O164" s="1478"/>
      <c r="P164" s="1469"/>
    </row>
    <row r="165" spans="2:16" ht="13">
      <c r="B165" s="1469"/>
      <c r="C165" s="1467" t="s">
        <v>477</v>
      </c>
      <c r="D165" s="1568"/>
      <c r="E165" s="1568"/>
      <c r="F165" s="1568"/>
      <c r="G165" s="1568"/>
      <c r="H165" s="1479"/>
      <c r="I165" s="1479"/>
      <c r="J165" s="1606"/>
      <c r="K165" s="1606"/>
      <c r="L165" s="1606"/>
      <c r="M165" s="1606"/>
      <c r="N165" s="1606"/>
      <c r="O165" s="1606"/>
      <c r="P165" s="1469"/>
    </row>
    <row r="166" spans="2:16" ht="13">
      <c r="B166" s="1469"/>
      <c r="C166" s="1467" t="s">
        <v>478</v>
      </c>
      <c r="D166" s="1568"/>
      <c r="E166" s="1568"/>
      <c r="F166" s="1568"/>
      <c r="G166" s="1568"/>
      <c r="H166" s="1479"/>
      <c r="I166" s="1479"/>
      <c r="J166" s="1606"/>
      <c r="K166" s="1606"/>
      <c r="L166" s="1606"/>
      <c r="M166" s="1606"/>
      <c r="N166" s="1606"/>
      <c r="O166" s="1606"/>
      <c r="P166" s="1469"/>
    </row>
  </sheetData>
  <mergeCells count="8">
    <mergeCell ref="L10:P10"/>
    <mergeCell ref="L14:P15"/>
    <mergeCell ref="A2:I2"/>
    <mergeCell ref="A3:I3"/>
    <mergeCell ref="A4:I4"/>
    <mergeCell ref="A5:I5"/>
    <mergeCell ref="C7:I7"/>
    <mergeCell ref="L7:P9"/>
  </mergeCells>
  <printOptions horizontalCentered="1"/>
  <pageMargins left="0.25" right="0.25" top="0.75" bottom="0.25" header="0.25" footer="0.5"/>
  <pageSetup scale="41" fitToHeight="5" orientation="landscape" horizontalDpi="1200" verticalDpi="1200" r:id="rId1"/>
  <headerFooter alignWithMargins="0">
    <oddHeader xml:space="preserve">&amp;R&amp;12AEP - SPP Formula Rate
TCOS - WS G
Page: &amp;P of &amp;N&amp;16
</oddHeader>
    <oddFooter xml:space="preserve">&amp;C &amp;R </oddFooter>
  </headerFooter>
  <rowBreaks count="1" manualBreakCount="1">
    <brk id="8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FC67"/>
  <sheetViews>
    <sheetView topLeftCell="D1" zoomScale="85" zoomScaleNormal="85" zoomScalePageLayoutView="80" workbookViewId="0">
      <selection activeCell="F11" sqref="F11"/>
    </sheetView>
  </sheetViews>
  <sheetFormatPr defaultColWidth="9.1796875" defaultRowHeight="12.5"/>
  <cols>
    <col min="1" max="1" width="8" style="1758" customWidth="1"/>
    <col min="2" max="2" width="5.81640625" style="1752" customWidth="1"/>
    <col min="3" max="3" width="25.81640625" style="1752" customWidth="1"/>
    <col min="4" max="4" width="33.453125" style="1752" customWidth="1"/>
    <col min="5" max="5" width="14.453125" style="1752" customWidth="1"/>
    <col min="6" max="7" width="11.453125" style="1752" customWidth="1"/>
    <col min="8" max="8" width="10.81640625" style="1752" customWidth="1"/>
    <col min="9" max="9" width="11.81640625" style="1752" customWidth="1"/>
    <col min="10" max="10" width="11.1796875" style="1752" customWidth="1"/>
    <col min="11" max="11" width="11.453125" style="1752" customWidth="1"/>
    <col min="12" max="12" width="11.1796875" style="1752" customWidth="1"/>
    <col min="13" max="13" width="12.54296875" style="1752" customWidth="1"/>
    <col min="14" max="14" width="11.81640625" style="1752" customWidth="1"/>
    <col min="15" max="15" width="11.54296875" style="1752" customWidth="1"/>
    <col min="16" max="16" width="12.453125" style="1752" customWidth="1"/>
    <col min="17" max="17" width="10.7265625" style="1752" customWidth="1"/>
    <col min="18" max="18" width="18.1796875" style="1753" customWidth="1"/>
    <col min="19" max="16384" width="9.1796875" style="1752"/>
  </cols>
  <sheetData>
    <row r="1" spans="1:19" ht="15.5">
      <c r="A1" s="1751"/>
    </row>
    <row r="2" spans="1:19" ht="13">
      <c r="A2" s="1752"/>
      <c r="C2" s="1754"/>
      <c r="D2" s="1754"/>
      <c r="E2" s="1754"/>
      <c r="F2" s="1754"/>
      <c r="G2" s="1754"/>
      <c r="H2" s="1754"/>
      <c r="I2" s="1754"/>
      <c r="J2" s="1754"/>
      <c r="K2" s="1754"/>
      <c r="L2" s="1754"/>
      <c r="M2" s="1754"/>
      <c r="N2" s="1754"/>
      <c r="O2" s="1754"/>
      <c r="P2" s="1754"/>
      <c r="Q2" s="1754"/>
    </row>
    <row r="3" spans="1:19" ht="13">
      <c r="A3" s="1752"/>
      <c r="B3" s="1754" t="str">
        <f>"Network Load for January Through December 2024"</f>
        <v>Network Load for January Through December 2024</v>
      </c>
      <c r="C3" s="1754"/>
      <c r="D3" s="1754"/>
      <c r="E3" s="1754"/>
      <c r="F3" s="1754"/>
      <c r="G3" s="1754"/>
      <c r="H3" s="1754"/>
      <c r="I3" s="1754"/>
      <c r="J3" s="1754"/>
      <c r="K3" s="1754"/>
      <c r="L3" s="1754"/>
      <c r="M3" s="1754"/>
      <c r="N3" s="1754"/>
      <c r="O3" s="1754"/>
      <c r="P3" s="1754"/>
      <c r="Q3" s="1754"/>
    </row>
    <row r="4" spans="1:19" ht="13">
      <c r="A4" s="1752"/>
      <c r="B4" s="1755" t="s">
        <v>1637</v>
      </c>
      <c r="C4" s="1756"/>
      <c r="D4" s="1756"/>
      <c r="E4" s="1756"/>
      <c r="F4" s="1756"/>
      <c r="G4" s="1756"/>
      <c r="H4" s="1756"/>
      <c r="I4" s="1756"/>
      <c r="J4" s="1756"/>
      <c r="K4" s="1756"/>
      <c r="L4" s="1756"/>
      <c r="M4" s="1756"/>
      <c r="N4" s="1756"/>
      <c r="O4" s="1756"/>
      <c r="P4" s="1756"/>
      <c r="Q4" s="1756"/>
    </row>
    <row r="5" spans="1:19" ht="13">
      <c r="A5" s="1752"/>
      <c r="B5" s="1754"/>
      <c r="C5" s="1756"/>
      <c r="D5" s="1756"/>
      <c r="E5" s="1756"/>
      <c r="F5" s="1756"/>
      <c r="G5" s="1756"/>
      <c r="H5" s="1756"/>
      <c r="I5" s="1756"/>
      <c r="J5" s="1756"/>
      <c r="K5" s="1756"/>
      <c r="L5" s="1756"/>
      <c r="M5" s="1756"/>
      <c r="N5" s="1756"/>
      <c r="O5" s="1756"/>
      <c r="P5" s="1756"/>
      <c r="Q5" s="1756"/>
    </row>
    <row r="6" spans="1:19" ht="14.25" customHeight="1">
      <c r="A6" s="1752"/>
      <c r="B6" s="1757" t="s">
        <v>588</v>
      </c>
      <c r="C6" s="1756"/>
      <c r="D6" s="1756"/>
      <c r="E6" s="1756"/>
      <c r="F6" s="1756"/>
      <c r="G6" s="1756"/>
      <c r="H6" s="1756"/>
      <c r="I6" s="1756"/>
      <c r="J6" s="1756"/>
      <c r="K6" s="1756"/>
      <c r="L6" s="1756"/>
      <c r="M6" s="1756"/>
      <c r="N6" s="1756"/>
      <c r="O6" s="1756"/>
      <c r="P6" s="1756"/>
      <c r="Q6" s="1756"/>
    </row>
    <row r="7" spans="1:19" ht="14.25" customHeight="1">
      <c r="A7" s="1752"/>
      <c r="B7" s="1757"/>
      <c r="C7" s="1756"/>
      <c r="D7" s="1756"/>
      <c r="E7" s="1756"/>
      <c r="F7" s="1756"/>
      <c r="G7" s="1756"/>
      <c r="H7" s="1756"/>
      <c r="I7" s="1756"/>
      <c r="J7" s="1756"/>
      <c r="K7" s="1756"/>
      <c r="L7" s="1756"/>
      <c r="M7" s="1756"/>
      <c r="N7" s="1756"/>
      <c r="O7" s="1756"/>
      <c r="P7" s="1756"/>
      <c r="Q7" s="1756"/>
    </row>
    <row r="8" spans="1:19" ht="11.5" customHeight="1">
      <c r="B8" s="1759"/>
      <c r="C8" s="1760" t="s">
        <v>577</v>
      </c>
      <c r="D8" s="1759"/>
      <c r="E8" s="1759"/>
      <c r="F8" s="1759"/>
      <c r="G8" s="1759"/>
      <c r="H8" s="1759"/>
      <c r="I8" s="1759"/>
      <c r="J8" s="1759"/>
      <c r="K8" s="1759"/>
      <c r="L8" s="1759"/>
      <c r="M8" s="1759"/>
      <c r="N8" s="1759"/>
      <c r="O8" s="1759"/>
      <c r="P8" s="1759"/>
      <c r="Q8" s="1759"/>
    </row>
    <row r="9" spans="1:19" ht="11.5" customHeight="1">
      <c r="B9" s="1759"/>
      <c r="C9" s="1760"/>
      <c r="D9" s="1759"/>
      <c r="E9" s="1761" t="s">
        <v>322</v>
      </c>
      <c r="F9" s="1761" t="s">
        <v>515</v>
      </c>
      <c r="G9" s="1761" t="s">
        <v>323</v>
      </c>
      <c r="H9" s="1761" t="s">
        <v>324</v>
      </c>
      <c r="I9" s="1761" t="s">
        <v>325</v>
      </c>
      <c r="J9" s="1761" t="s">
        <v>48</v>
      </c>
      <c r="K9" s="1761" t="s">
        <v>326</v>
      </c>
      <c r="L9" s="1761" t="s">
        <v>327</v>
      </c>
      <c r="M9" s="1761" t="s">
        <v>329</v>
      </c>
      <c r="N9" s="1761" t="s">
        <v>516</v>
      </c>
      <c r="O9" s="1761" t="s">
        <v>517</v>
      </c>
      <c r="P9" s="1761" t="s">
        <v>328</v>
      </c>
    </row>
    <row r="10" spans="1:19" ht="11.5" customHeight="1">
      <c r="C10" s="1758"/>
      <c r="D10" s="1762" t="s">
        <v>569</v>
      </c>
      <c r="E10" s="1820">
        <v>45307</v>
      </c>
      <c r="F10" s="1820">
        <v>45341</v>
      </c>
      <c r="G10" s="1820">
        <v>45370</v>
      </c>
      <c r="H10" s="1820">
        <v>45399</v>
      </c>
      <c r="I10" s="1820">
        <v>45432</v>
      </c>
      <c r="J10" s="1820">
        <v>45467</v>
      </c>
      <c r="K10" s="1820">
        <v>45475</v>
      </c>
      <c r="L10" s="1820">
        <v>45518</v>
      </c>
      <c r="M10" s="1820">
        <v>45554</v>
      </c>
      <c r="N10" s="1820">
        <v>45569</v>
      </c>
      <c r="O10" s="1820">
        <v>45600</v>
      </c>
      <c r="P10" s="1820">
        <v>45637</v>
      </c>
      <c r="R10" s="1752"/>
      <c r="S10" s="1763" t="s">
        <v>570</v>
      </c>
    </row>
    <row r="11" spans="1:19" ht="11.5" customHeight="1">
      <c r="A11" s="1764" t="s">
        <v>571</v>
      </c>
      <c r="C11" s="1758"/>
      <c r="D11" s="1762" t="s">
        <v>572</v>
      </c>
      <c r="E11" s="2449">
        <v>900</v>
      </c>
      <c r="F11" s="2449">
        <v>800</v>
      </c>
      <c r="G11" s="2449">
        <v>800</v>
      </c>
      <c r="H11" s="2449">
        <v>1700</v>
      </c>
      <c r="I11" s="2449">
        <v>1700</v>
      </c>
      <c r="J11" s="2449">
        <v>1600</v>
      </c>
      <c r="K11" s="2449">
        <v>1700</v>
      </c>
      <c r="L11" s="2449">
        <v>1700</v>
      </c>
      <c r="M11" s="2449">
        <v>1700</v>
      </c>
      <c r="N11" s="2449">
        <v>1700</v>
      </c>
      <c r="O11" s="2449">
        <v>1400</v>
      </c>
      <c r="P11" s="2449">
        <v>800</v>
      </c>
      <c r="R11" s="1752"/>
      <c r="S11" s="1763" t="s">
        <v>180</v>
      </c>
    </row>
    <row r="12" spans="1:19" ht="11.5" customHeight="1">
      <c r="A12" s="1764"/>
      <c r="C12"/>
      <c r="D12" s="1762"/>
      <c r="E12" s="2087"/>
      <c r="F12" s="2087" t="s">
        <v>254</v>
      </c>
      <c r="G12" s="2087"/>
      <c r="H12" s="2087"/>
      <c r="I12" s="2087"/>
      <c r="J12" s="2087"/>
      <c r="K12" s="2087"/>
      <c r="L12" s="2087"/>
      <c r="M12" s="2087"/>
      <c r="N12" s="2087"/>
      <c r="O12" s="2087"/>
      <c r="P12" s="2087"/>
      <c r="Q12" s="1763"/>
      <c r="S12" s="1763" t="s">
        <v>125</v>
      </c>
    </row>
    <row r="13" spans="1:19" ht="11.5" customHeight="1" thickBot="1">
      <c r="A13" s="1758" t="s">
        <v>257</v>
      </c>
      <c r="B13" s="1765" t="s">
        <v>573</v>
      </c>
      <c r="C13" s="1766"/>
      <c r="D13" s="1766"/>
      <c r="E13" s="1758"/>
      <c r="F13" s="1758"/>
      <c r="G13" s="1758"/>
      <c r="H13" s="1758"/>
      <c r="I13" s="1758"/>
      <c r="J13" s="1758"/>
      <c r="K13" s="1758"/>
      <c r="L13" s="1758"/>
      <c r="M13" s="1758"/>
      <c r="N13" s="1758"/>
      <c r="O13" s="1758"/>
      <c r="P13" s="1758"/>
      <c r="Q13" s="1758"/>
      <c r="S13" s="1753"/>
    </row>
    <row r="14" spans="1:19" s="1767" customFormat="1" ht="11.5" customHeight="1">
      <c r="A14" s="1758">
        <v>1</v>
      </c>
      <c r="C14" s="1768" t="s">
        <v>1533</v>
      </c>
      <c r="D14" s="1769" t="s">
        <v>1557</v>
      </c>
      <c r="E14" s="2450">
        <v>3252</v>
      </c>
      <c r="F14" s="2450">
        <v>2338</v>
      </c>
      <c r="G14" s="2450">
        <v>2216</v>
      </c>
      <c r="H14" s="2450">
        <v>2777</v>
      </c>
      <c r="I14" s="2450">
        <v>3245</v>
      </c>
      <c r="J14" s="2450">
        <v>4080</v>
      </c>
      <c r="K14" s="2450">
        <v>4149</v>
      </c>
      <c r="L14" s="2450">
        <v>4151</v>
      </c>
      <c r="M14" s="2450">
        <v>3859</v>
      </c>
      <c r="N14" s="2450">
        <v>3429</v>
      </c>
      <c r="O14" s="2450">
        <v>2220</v>
      </c>
      <c r="P14" s="2450">
        <v>2569</v>
      </c>
      <c r="Q14" s="2115">
        <f>ROUND(SUM(E14:P14)/12,1)</f>
        <v>3190.4</v>
      </c>
      <c r="R14" s="1770">
        <f t="shared" ref="R14:R32" si="0">+Q14/Q$33</f>
        <v>0.37589027108226719</v>
      </c>
      <c r="S14" s="2110">
        <f t="shared" ref="S14:S33" si="1">ROUND(Q14,0)</f>
        <v>3190</v>
      </c>
    </row>
    <row r="15" spans="1:19" s="1767" customFormat="1" ht="11.5" customHeight="1">
      <c r="A15" s="1758">
        <f>+A14+1</f>
        <v>2</v>
      </c>
      <c r="C15" s="1768" t="s">
        <v>1534</v>
      </c>
      <c r="D15" s="1769" t="s">
        <v>1558</v>
      </c>
      <c r="E15" s="2450">
        <v>3306</v>
      </c>
      <c r="F15" s="2450">
        <v>2611</v>
      </c>
      <c r="G15" s="2450">
        <v>2302</v>
      </c>
      <c r="H15" s="2450">
        <v>2486</v>
      </c>
      <c r="I15" s="2450">
        <v>2970</v>
      </c>
      <c r="J15" s="2450">
        <v>3483</v>
      </c>
      <c r="K15" s="2450">
        <v>3510</v>
      </c>
      <c r="L15" s="2450">
        <v>3574</v>
      </c>
      <c r="M15" s="2450">
        <v>3188</v>
      </c>
      <c r="N15" s="2450">
        <v>2793</v>
      </c>
      <c r="O15" s="2450">
        <v>2339</v>
      </c>
      <c r="P15" s="2450">
        <v>2520</v>
      </c>
      <c r="Q15" s="2115">
        <f t="shared" ref="Q15:Q32" si="2">ROUND(SUM(E15:P15)/12,1)</f>
        <v>2923.5</v>
      </c>
      <c r="R15" s="1770">
        <f t="shared" si="0"/>
        <v>0.34444433535262292</v>
      </c>
      <c r="S15" s="2110">
        <f t="shared" si="1"/>
        <v>2924</v>
      </c>
    </row>
    <row r="16" spans="1:19" s="1767" customFormat="1" ht="11.5" customHeight="1">
      <c r="A16" s="1758">
        <f t="shared" ref="A16:A33" si="3">+A15+1</f>
        <v>3</v>
      </c>
      <c r="C16" s="1768" t="s">
        <v>1535</v>
      </c>
      <c r="D16" s="1769" t="s">
        <v>1559</v>
      </c>
      <c r="E16" s="2450">
        <v>942</v>
      </c>
      <c r="F16" s="2450">
        <v>609</v>
      </c>
      <c r="G16" s="2450">
        <v>524</v>
      </c>
      <c r="H16" s="2450">
        <v>457</v>
      </c>
      <c r="I16" s="2450">
        <v>605</v>
      </c>
      <c r="J16" s="2450">
        <v>809</v>
      </c>
      <c r="K16" s="2450">
        <v>781</v>
      </c>
      <c r="L16" s="2450">
        <v>817</v>
      </c>
      <c r="M16" s="2450">
        <v>699</v>
      </c>
      <c r="N16" s="2450">
        <v>625</v>
      </c>
      <c r="O16" s="2450">
        <v>375</v>
      </c>
      <c r="P16" s="2450">
        <v>598</v>
      </c>
      <c r="Q16" s="2115">
        <f t="shared" si="2"/>
        <v>653.4</v>
      </c>
      <c r="R16" s="1770">
        <f t="shared" si="0"/>
        <v>7.6983043858184982E-2</v>
      </c>
      <c r="S16" s="2110">
        <f t="shared" si="1"/>
        <v>653</v>
      </c>
    </row>
    <row r="17" spans="1:19" s="1767" customFormat="1" ht="11.5" customHeight="1">
      <c r="A17" s="1758">
        <f t="shared" si="3"/>
        <v>4</v>
      </c>
      <c r="C17" s="1768" t="s">
        <v>1536</v>
      </c>
      <c r="D17" s="1769" t="s">
        <v>1560</v>
      </c>
      <c r="E17" s="2450">
        <v>187</v>
      </c>
      <c r="F17" s="2450">
        <v>130</v>
      </c>
      <c r="G17" s="2450">
        <v>118</v>
      </c>
      <c r="H17" s="2450">
        <v>124</v>
      </c>
      <c r="I17" s="2450">
        <v>148</v>
      </c>
      <c r="J17" s="2450">
        <v>192</v>
      </c>
      <c r="K17" s="2450">
        <v>180</v>
      </c>
      <c r="L17" s="2450">
        <v>200</v>
      </c>
      <c r="M17" s="2450">
        <v>157</v>
      </c>
      <c r="N17" s="2450">
        <v>161</v>
      </c>
      <c r="O17" s="2450">
        <v>88</v>
      </c>
      <c r="P17" s="2450">
        <v>127</v>
      </c>
      <c r="Q17" s="2115">
        <f t="shared" si="2"/>
        <v>151</v>
      </c>
      <c r="R17" s="1770">
        <f t="shared" si="0"/>
        <v>1.7790694249442813E-2</v>
      </c>
      <c r="S17" s="2110">
        <f t="shared" si="1"/>
        <v>151</v>
      </c>
    </row>
    <row r="18" spans="1:19" s="1767" customFormat="1" ht="11.5" customHeight="1">
      <c r="A18" s="1758">
        <f t="shared" si="3"/>
        <v>5</v>
      </c>
      <c r="C18" s="1768" t="s">
        <v>1537</v>
      </c>
      <c r="D18" s="1769" t="s">
        <v>1561</v>
      </c>
      <c r="E18" s="2450">
        <v>75</v>
      </c>
      <c r="F18" s="2450">
        <v>54</v>
      </c>
      <c r="G18" s="2450">
        <v>49</v>
      </c>
      <c r="H18" s="2450">
        <v>43</v>
      </c>
      <c r="I18" s="2450">
        <v>50</v>
      </c>
      <c r="J18" s="2450">
        <v>59</v>
      </c>
      <c r="K18" s="2450">
        <v>60</v>
      </c>
      <c r="L18" s="2450">
        <v>56</v>
      </c>
      <c r="M18" s="2450">
        <v>55</v>
      </c>
      <c r="N18" s="2450">
        <v>51</v>
      </c>
      <c r="O18" s="2450">
        <v>40</v>
      </c>
      <c r="P18" s="2450">
        <v>51</v>
      </c>
      <c r="Q18" s="2115">
        <f t="shared" si="2"/>
        <v>53.6</v>
      </c>
      <c r="R18" s="1770">
        <f t="shared" si="0"/>
        <v>6.315107362716124E-3</v>
      </c>
      <c r="S18" s="2110">
        <f t="shared" si="1"/>
        <v>54</v>
      </c>
    </row>
    <row r="19" spans="1:19" s="1767" customFormat="1" ht="11.5" customHeight="1">
      <c r="A19" s="1758">
        <f t="shared" si="3"/>
        <v>6</v>
      </c>
      <c r="C19" s="1768" t="s">
        <v>1538</v>
      </c>
      <c r="D19" s="1769" t="s">
        <v>1562</v>
      </c>
      <c r="E19" s="2450">
        <v>94</v>
      </c>
      <c r="F19" s="2450">
        <v>62</v>
      </c>
      <c r="G19" s="2450">
        <v>60</v>
      </c>
      <c r="H19" s="2450">
        <v>92</v>
      </c>
      <c r="I19" s="2450">
        <v>118</v>
      </c>
      <c r="J19" s="2450">
        <v>143</v>
      </c>
      <c r="K19" s="2450">
        <v>151</v>
      </c>
      <c r="L19" s="2450">
        <v>157</v>
      </c>
      <c r="M19" s="2450">
        <v>146</v>
      </c>
      <c r="N19" s="2450">
        <v>116</v>
      </c>
      <c r="O19" s="2450">
        <v>62</v>
      </c>
      <c r="P19" s="2450">
        <v>77</v>
      </c>
      <c r="Q19" s="2115">
        <f t="shared" si="2"/>
        <v>106.5</v>
      </c>
      <c r="R19" s="1770">
        <f t="shared" si="0"/>
        <v>1.2547741308381851E-2</v>
      </c>
      <c r="S19" s="2110">
        <f t="shared" si="1"/>
        <v>107</v>
      </c>
    </row>
    <row r="20" spans="1:19" s="1767" customFormat="1" ht="11.5" customHeight="1">
      <c r="A20" s="1758">
        <f t="shared" si="3"/>
        <v>7</v>
      </c>
      <c r="C20" s="1768" t="s">
        <v>1539</v>
      </c>
      <c r="D20" s="1769" t="s">
        <v>1563</v>
      </c>
      <c r="E20" s="2450">
        <v>9</v>
      </c>
      <c r="F20" s="2450">
        <v>9</v>
      </c>
      <c r="G20" s="2450">
        <v>9</v>
      </c>
      <c r="H20" s="2450">
        <v>9</v>
      </c>
      <c r="I20" s="2450">
        <v>0</v>
      </c>
      <c r="J20" s="2450">
        <v>7</v>
      </c>
      <c r="K20" s="2450">
        <v>9</v>
      </c>
      <c r="L20" s="2450">
        <v>8</v>
      </c>
      <c r="M20" s="2450">
        <v>10</v>
      </c>
      <c r="N20" s="2450">
        <v>10</v>
      </c>
      <c r="O20" s="2450">
        <v>10</v>
      </c>
      <c r="P20" s="2450">
        <v>9</v>
      </c>
      <c r="Q20" s="2115">
        <f t="shared" si="2"/>
        <v>8.3000000000000007</v>
      </c>
      <c r="R20" s="1770">
        <f t="shared" si="0"/>
        <v>9.7789908788328047E-4</v>
      </c>
      <c r="S20" s="2110">
        <f t="shared" si="1"/>
        <v>8</v>
      </c>
    </row>
    <row r="21" spans="1:19" ht="11.5" customHeight="1">
      <c r="A21" s="1758">
        <f t="shared" si="3"/>
        <v>8</v>
      </c>
      <c r="C21" s="1768" t="s">
        <v>1540</v>
      </c>
      <c r="D21" s="1769" t="s">
        <v>1564</v>
      </c>
      <c r="E21" s="2450">
        <v>43</v>
      </c>
      <c r="F21" s="2450">
        <v>42</v>
      </c>
      <c r="G21" s="2450">
        <v>41</v>
      </c>
      <c r="H21" s="2450">
        <v>42</v>
      </c>
      <c r="I21" s="2450">
        <v>38</v>
      </c>
      <c r="J21" s="2450">
        <v>42</v>
      </c>
      <c r="K21" s="2450">
        <v>43</v>
      </c>
      <c r="L21" s="2450">
        <v>47</v>
      </c>
      <c r="M21" s="2450">
        <v>48</v>
      </c>
      <c r="N21" s="2450">
        <v>49</v>
      </c>
      <c r="O21" s="2450">
        <v>49</v>
      </c>
      <c r="P21" s="2450">
        <v>44</v>
      </c>
      <c r="Q21" s="2115">
        <f t="shared" si="2"/>
        <v>44</v>
      </c>
      <c r="R21" s="1770">
        <f t="shared" si="0"/>
        <v>5.1840433574535348E-3</v>
      </c>
      <c r="S21" s="2110">
        <f t="shared" si="1"/>
        <v>44</v>
      </c>
    </row>
    <row r="22" spans="1:19" s="1767" customFormat="1" ht="11.5" customHeight="1">
      <c r="A22" s="1758">
        <f t="shared" si="3"/>
        <v>9</v>
      </c>
      <c r="C22" s="1768" t="s">
        <v>1541</v>
      </c>
      <c r="D22" s="1769" t="s">
        <v>1565</v>
      </c>
      <c r="E22" s="2450">
        <v>13</v>
      </c>
      <c r="F22" s="2450">
        <v>14</v>
      </c>
      <c r="G22" s="2450">
        <v>14</v>
      </c>
      <c r="H22" s="2450">
        <v>14</v>
      </c>
      <c r="I22" s="2450">
        <v>13</v>
      </c>
      <c r="J22" s="2450">
        <v>10</v>
      </c>
      <c r="K22" s="2450">
        <v>15</v>
      </c>
      <c r="L22" s="2450">
        <v>15</v>
      </c>
      <c r="M22" s="2450">
        <v>14</v>
      </c>
      <c r="N22" s="2450">
        <v>14</v>
      </c>
      <c r="O22" s="2450">
        <v>13</v>
      </c>
      <c r="P22" s="2450">
        <v>12</v>
      </c>
      <c r="Q22" s="2115">
        <f t="shared" si="2"/>
        <v>13.4</v>
      </c>
      <c r="R22" s="1770">
        <f t="shared" si="0"/>
        <v>1.578776840679031E-3</v>
      </c>
      <c r="S22" s="2110">
        <f t="shared" si="1"/>
        <v>13</v>
      </c>
    </row>
    <row r="23" spans="1:19" s="1767" customFormat="1" ht="11.5" customHeight="1">
      <c r="A23" s="1758">
        <f t="shared" si="3"/>
        <v>10</v>
      </c>
      <c r="C23" s="1768" t="s">
        <v>1542</v>
      </c>
      <c r="D23" s="1769" t="s">
        <v>1566</v>
      </c>
      <c r="E23" s="2450">
        <v>1452</v>
      </c>
      <c r="F23" s="2450">
        <v>966</v>
      </c>
      <c r="G23" s="2450">
        <v>732</v>
      </c>
      <c r="H23" s="2450">
        <v>547</v>
      </c>
      <c r="I23" s="2450">
        <v>747</v>
      </c>
      <c r="J23" s="2450">
        <v>917</v>
      </c>
      <c r="K23" s="2450">
        <v>950</v>
      </c>
      <c r="L23" s="2450">
        <v>940</v>
      </c>
      <c r="M23" s="2450">
        <v>816</v>
      </c>
      <c r="N23" s="2450">
        <v>683</v>
      </c>
      <c r="O23" s="2450">
        <v>525</v>
      </c>
      <c r="P23" s="2450">
        <v>863</v>
      </c>
      <c r="Q23" s="2115">
        <f t="shared" si="2"/>
        <v>844.8</v>
      </c>
      <c r="R23" s="1770">
        <f t="shared" si="0"/>
        <v>9.9533632463107855E-2</v>
      </c>
      <c r="S23" s="2110">
        <f t="shared" si="1"/>
        <v>845</v>
      </c>
    </row>
    <row r="24" spans="1:19" s="1767" customFormat="1" ht="11.5" customHeight="1">
      <c r="A24" s="1758">
        <f t="shared" si="3"/>
        <v>11</v>
      </c>
      <c r="C24" s="1768" t="s">
        <v>1543</v>
      </c>
      <c r="D24" s="1769" t="s">
        <v>1567</v>
      </c>
      <c r="E24" s="2450">
        <v>8</v>
      </c>
      <c r="F24" s="2450">
        <v>5</v>
      </c>
      <c r="G24" s="2450">
        <v>5</v>
      </c>
      <c r="H24" s="2450">
        <v>6</v>
      </c>
      <c r="I24" s="2450">
        <v>9</v>
      </c>
      <c r="J24" s="2450">
        <v>14</v>
      </c>
      <c r="K24" s="2450">
        <v>17</v>
      </c>
      <c r="L24" s="2450">
        <v>19</v>
      </c>
      <c r="M24" s="2450">
        <v>11</v>
      </c>
      <c r="N24" s="2450">
        <v>6</v>
      </c>
      <c r="O24" s="2450">
        <v>6</v>
      </c>
      <c r="P24" s="2450">
        <v>6</v>
      </c>
      <c r="Q24" s="2115">
        <f t="shared" si="2"/>
        <v>9.3000000000000007</v>
      </c>
      <c r="R24" s="1770">
        <f t="shared" si="0"/>
        <v>1.0957182550981335E-3</v>
      </c>
      <c r="S24" s="2110">
        <f t="shared" si="1"/>
        <v>9</v>
      </c>
    </row>
    <row r="25" spans="1:19" s="1767" customFormat="1" ht="11.5" customHeight="1">
      <c r="A25" s="1758">
        <f t="shared" si="3"/>
        <v>12</v>
      </c>
      <c r="C25" s="1768" t="s">
        <v>1544</v>
      </c>
      <c r="D25" s="1769" t="s">
        <v>1568</v>
      </c>
      <c r="E25" s="2450">
        <v>4</v>
      </c>
      <c r="F25" s="2450">
        <v>3</v>
      </c>
      <c r="G25" s="2450">
        <v>3</v>
      </c>
      <c r="H25" s="2450">
        <v>2</v>
      </c>
      <c r="I25" s="2450">
        <v>4</v>
      </c>
      <c r="J25" s="2450">
        <v>4</v>
      </c>
      <c r="K25" s="2450">
        <v>6</v>
      </c>
      <c r="L25" s="2450">
        <v>6</v>
      </c>
      <c r="M25" s="2450">
        <v>3</v>
      </c>
      <c r="N25" s="2450">
        <v>6</v>
      </c>
      <c r="O25" s="2450">
        <v>1</v>
      </c>
      <c r="P25" s="2450">
        <v>3</v>
      </c>
      <c r="Q25" s="2115">
        <f t="shared" si="2"/>
        <v>3.8</v>
      </c>
      <c r="R25" s="1770">
        <f t="shared" si="0"/>
        <v>4.477128354164416E-4</v>
      </c>
      <c r="S25" s="2110">
        <f t="shared" si="1"/>
        <v>4</v>
      </c>
    </row>
    <row r="26" spans="1:19" s="1767" customFormat="1" ht="11.5" customHeight="1">
      <c r="A26" s="1758">
        <f t="shared" si="3"/>
        <v>13</v>
      </c>
      <c r="C26" s="1768" t="s">
        <v>1545</v>
      </c>
      <c r="D26" s="1769" t="s">
        <v>1569</v>
      </c>
      <c r="E26" s="2450">
        <v>145</v>
      </c>
      <c r="F26" s="2450">
        <v>100</v>
      </c>
      <c r="G26" s="2450">
        <v>92</v>
      </c>
      <c r="H26" s="2450">
        <v>101</v>
      </c>
      <c r="I26" s="2450">
        <v>118</v>
      </c>
      <c r="J26" s="2450">
        <v>173</v>
      </c>
      <c r="K26" s="2450">
        <v>164</v>
      </c>
      <c r="L26" s="2450">
        <v>170</v>
      </c>
      <c r="M26" s="2450">
        <v>156</v>
      </c>
      <c r="N26" s="2450">
        <v>139</v>
      </c>
      <c r="O26" s="2450">
        <v>90</v>
      </c>
      <c r="P26" s="2450">
        <v>110</v>
      </c>
      <c r="Q26" s="2115">
        <f t="shared" si="2"/>
        <v>129.80000000000001</v>
      </c>
      <c r="R26" s="1770">
        <f t="shared" si="0"/>
        <v>1.5292927904487929E-2</v>
      </c>
      <c r="S26" s="2110">
        <f t="shared" si="1"/>
        <v>130</v>
      </c>
    </row>
    <row r="27" spans="1:19" s="1767" customFormat="1" ht="11.5" customHeight="1">
      <c r="A27" s="1758">
        <f t="shared" si="3"/>
        <v>14</v>
      </c>
      <c r="C27" s="1768" t="s">
        <v>1546</v>
      </c>
      <c r="D27" s="1769" t="s">
        <v>1570</v>
      </c>
      <c r="E27" s="2450">
        <v>9</v>
      </c>
      <c r="F27" s="2450">
        <v>8</v>
      </c>
      <c r="G27" s="2450">
        <v>10</v>
      </c>
      <c r="H27" s="2450">
        <v>7</v>
      </c>
      <c r="I27" s="2450">
        <v>10</v>
      </c>
      <c r="J27" s="2450">
        <v>10</v>
      </c>
      <c r="K27" s="2450">
        <v>12</v>
      </c>
      <c r="L27" s="2450">
        <v>12</v>
      </c>
      <c r="M27" s="2450">
        <v>11</v>
      </c>
      <c r="N27" s="2450">
        <v>10</v>
      </c>
      <c r="O27" s="2450">
        <v>10</v>
      </c>
      <c r="P27" s="2450">
        <v>10</v>
      </c>
      <c r="Q27" s="2115">
        <f t="shared" si="2"/>
        <v>9.9</v>
      </c>
      <c r="R27" s="1770">
        <f t="shared" si="0"/>
        <v>1.1664097554270453E-3</v>
      </c>
      <c r="S27" s="2110">
        <f t="shared" si="1"/>
        <v>10</v>
      </c>
    </row>
    <row r="28" spans="1:19" s="1767" customFormat="1" ht="11.5" customHeight="1">
      <c r="A28" s="1758">
        <f t="shared" si="3"/>
        <v>15</v>
      </c>
      <c r="C28" s="1768" t="s">
        <v>1547</v>
      </c>
      <c r="D28" s="1769" t="s">
        <v>1571</v>
      </c>
      <c r="E28" s="2450">
        <v>26</v>
      </c>
      <c r="F28" s="2450">
        <v>19</v>
      </c>
      <c r="G28" s="2450">
        <v>18</v>
      </c>
      <c r="H28" s="2450">
        <v>22</v>
      </c>
      <c r="I28" s="2450">
        <v>31</v>
      </c>
      <c r="J28" s="2450">
        <v>36</v>
      </c>
      <c r="K28" s="2450">
        <v>38</v>
      </c>
      <c r="L28" s="2450">
        <v>41</v>
      </c>
      <c r="M28" s="2450">
        <v>29</v>
      </c>
      <c r="N28" s="2450">
        <v>26</v>
      </c>
      <c r="O28" s="2450">
        <v>22</v>
      </c>
      <c r="P28" s="2450">
        <v>18</v>
      </c>
      <c r="Q28" s="2115">
        <f t="shared" si="2"/>
        <v>27.2</v>
      </c>
      <c r="R28" s="1770">
        <f t="shared" si="0"/>
        <v>3.2046813482440031E-3</v>
      </c>
      <c r="S28" s="2110">
        <f t="shared" si="1"/>
        <v>27</v>
      </c>
    </row>
    <row r="29" spans="1:19" s="1767" customFormat="1" ht="11.5" customHeight="1">
      <c r="A29" s="1758">
        <f t="shared" si="3"/>
        <v>16</v>
      </c>
      <c r="C29" s="1768" t="s">
        <v>1548</v>
      </c>
      <c r="D29" s="1769" t="s">
        <v>1572</v>
      </c>
      <c r="E29" s="2450">
        <v>34</v>
      </c>
      <c r="F29" s="2450">
        <v>32</v>
      </c>
      <c r="G29" s="2450">
        <v>32</v>
      </c>
      <c r="H29" s="2450">
        <v>33</v>
      </c>
      <c r="I29" s="2450">
        <v>40</v>
      </c>
      <c r="J29" s="2450">
        <v>47</v>
      </c>
      <c r="K29" s="2450">
        <v>47</v>
      </c>
      <c r="L29" s="2450">
        <v>51</v>
      </c>
      <c r="M29" s="2450">
        <v>43</v>
      </c>
      <c r="N29" s="2450">
        <v>37</v>
      </c>
      <c r="O29" s="2450">
        <v>34</v>
      </c>
      <c r="P29" s="2450">
        <v>32</v>
      </c>
      <c r="Q29" s="2115">
        <f t="shared" si="2"/>
        <v>38.5</v>
      </c>
      <c r="R29" s="1770">
        <f t="shared" si="0"/>
        <v>4.5360379377718425E-3</v>
      </c>
      <c r="S29" s="2110">
        <f t="shared" si="1"/>
        <v>39</v>
      </c>
    </row>
    <row r="30" spans="1:19" ht="11.5" customHeight="1">
      <c r="A30" s="1758">
        <f t="shared" si="3"/>
        <v>17</v>
      </c>
      <c r="B30" s="1771" t="s">
        <v>254</v>
      </c>
      <c r="C30" s="1768" t="s">
        <v>1549</v>
      </c>
      <c r="D30" s="1769" t="s">
        <v>1573</v>
      </c>
      <c r="E30" s="2450">
        <v>104</v>
      </c>
      <c r="F30" s="2450">
        <v>99</v>
      </c>
      <c r="G30" s="2450">
        <v>99</v>
      </c>
      <c r="H30" s="2450">
        <v>99</v>
      </c>
      <c r="I30" s="2450">
        <v>106</v>
      </c>
      <c r="J30" s="2450">
        <v>120</v>
      </c>
      <c r="K30" s="2450">
        <v>117</v>
      </c>
      <c r="L30" s="2450">
        <v>118</v>
      </c>
      <c r="M30" s="2450">
        <v>117</v>
      </c>
      <c r="N30" s="2450">
        <v>107</v>
      </c>
      <c r="O30" s="2450">
        <v>91</v>
      </c>
      <c r="P30" s="2450">
        <v>102</v>
      </c>
      <c r="Q30" s="2115">
        <f>ROUND(SUM(E30:P30)/12,1)</f>
        <v>106.6</v>
      </c>
      <c r="R30" s="1770">
        <f t="shared" si="0"/>
        <v>1.2559523225103335E-2</v>
      </c>
      <c r="S30" s="2110">
        <f t="shared" si="1"/>
        <v>107</v>
      </c>
    </row>
    <row r="31" spans="1:19" ht="11.5" customHeight="1">
      <c r="A31" s="1758">
        <f t="shared" si="3"/>
        <v>18</v>
      </c>
      <c r="C31" s="1768" t="s">
        <v>1550</v>
      </c>
      <c r="D31" s="1769" t="s">
        <v>1574</v>
      </c>
      <c r="E31" s="2450">
        <v>216</v>
      </c>
      <c r="F31" s="2450">
        <v>146</v>
      </c>
      <c r="G31" s="2450">
        <v>113</v>
      </c>
      <c r="H31" s="2450">
        <v>76</v>
      </c>
      <c r="I31" s="2450">
        <v>120</v>
      </c>
      <c r="J31" s="2450">
        <v>147</v>
      </c>
      <c r="K31" s="2450">
        <v>155</v>
      </c>
      <c r="L31" s="2450">
        <v>157</v>
      </c>
      <c r="M31" s="2450">
        <v>126</v>
      </c>
      <c r="N31" s="2450">
        <v>112</v>
      </c>
      <c r="O31" s="2450">
        <v>93</v>
      </c>
      <c r="P31" s="2450">
        <v>128</v>
      </c>
      <c r="Q31" s="2116">
        <f t="shared" si="2"/>
        <v>132.4</v>
      </c>
      <c r="R31" s="1770">
        <f t="shared" si="0"/>
        <v>1.5599257739246546E-2</v>
      </c>
      <c r="S31" s="2110">
        <f t="shared" si="1"/>
        <v>132</v>
      </c>
    </row>
    <row r="32" spans="1:19" ht="11.5" customHeight="1">
      <c r="A32" s="1758">
        <f t="shared" si="3"/>
        <v>19</v>
      </c>
      <c r="C32" s="1768" t="s">
        <v>1551</v>
      </c>
      <c r="D32" s="1769" t="s">
        <v>1575</v>
      </c>
      <c r="E32" s="2450">
        <v>58</v>
      </c>
      <c r="F32" s="2450">
        <v>36</v>
      </c>
      <c r="G32" s="2450">
        <v>29</v>
      </c>
      <c r="H32" s="2450">
        <v>27</v>
      </c>
      <c r="I32" s="2450">
        <v>36</v>
      </c>
      <c r="J32" s="2450">
        <v>53</v>
      </c>
      <c r="K32" s="2450">
        <v>53</v>
      </c>
      <c r="L32" s="2450">
        <v>54</v>
      </c>
      <c r="M32" s="2450">
        <v>48</v>
      </c>
      <c r="N32" s="2450">
        <v>41</v>
      </c>
      <c r="O32" s="2450">
        <v>22</v>
      </c>
      <c r="P32" s="2450">
        <v>37</v>
      </c>
      <c r="Q32" s="2116">
        <f t="shared" si="2"/>
        <v>41.2</v>
      </c>
      <c r="R32" s="1770">
        <f t="shared" si="0"/>
        <v>4.8541496892519466E-3</v>
      </c>
      <c r="S32" s="2110">
        <f t="shared" si="1"/>
        <v>41</v>
      </c>
    </row>
    <row r="33" spans="1:20" ht="11.5" customHeight="1">
      <c r="A33" s="1758">
        <f t="shared" si="3"/>
        <v>20</v>
      </c>
      <c r="B33" s="1771" t="s">
        <v>578</v>
      </c>
      <c r="C33" s="1758"/>
      <c r="D33" s="1762"/>
      <c r="E33" s="2201">
        <f>SUM(E14:E32)</f>
        <v>9977</v>
      </c>
      <c r="F33" s="2201">
        <f t="shared" ref="F33:P33" si="4">SUM(F14:F32)</f>
        <v>7283</v>
      </c>
      <c r="G33" s="2201">
        <f t="shared" si="4"/>
        <v>6466</v>
      </c>
      <c r="H33" s="2201">
        <f t="shared" si="4"/>
        <v>6964</v>
      </c>
      <c r="I33" s="2201">
        <f t="shared" si="4"/>
        <v>8408</v>
      </c>
      <c r="J33" s="2201">
        <f t="shared" si="4"/>
        <v>10346</v>
      </c>
      <c r="K33" s="2201">
        <f t="shared" si="4"/>
        <v>10457</v>
      </c>
      <c r="L33" s="2201">
        <f t="shared" si="4"/>
        <v>10593</v>
      </c>
      <c r="M33" s="2201">
        <f t="shared" si="4"/>
        <v>9536</v>
      </c>
      <c r="N33" s="2201">
        <f t="shared" si="4"/>
        <v>8415</v>
      </c>
      <c r="O33" s="2201">
        <f t="shared" si="4"/>
        <v>6090</v>
      </c>
      <c r="P33" s="2201">
        <f t="shared" si="4"/>
        <v>7316</v>
      </c>
      <c r="Q33" s="2110">
        <f>SUM(E33:P33)/12</f>
        <v>8487.5833333333339</v>
      </c>
      <c r="R33" s="1752" t="s">
        <v>579</v>
      </c>
      <c r="S33" s="2112">
        <f t="shared" si="1"/>
        <v>8488</v>
      </c>
      <c r="T33" s="1752" t="s">
        <v>580</v>
      </c>
    </row>
    <row r="34" spans="1:20" ht="9.75" customHeight="1">
      <c r="C34" s="1758"/>
      <c r="D34" s="1758"/>
      <c r="E34" s="1773"/>
      <c r="F34" s="1758"/>
      <c r="G34" s="1758"/>
      <c r="H34" s="1758"/>
      <c r="I34" s="1758"/>
      <c r="J34" s="1758"/>
      <c r="K34" s="1758"/>
      <c r="Q34" s="1758"/>
      <c r="S34" s="2113"/>
    </row>
    <row r="35" spans="1:20" ht="11.5" customHeight="1">
      <c r="C35" s="1758"/>
      <c r="D35" s="1758"/>
      <c r="E35" s="1758"/>
      <c r="F35" s="1758"/>
      <c r="G35" s="1758"/>
      <c r="H35" s="1758"/>
      <c r="I35" s="1758"/>
      <c r="J35" s="1758"/>
      <c r="K35" s="1758"/>
      <c r="L35" s="1758"/>
      <c r="M35" s="1758"/>
      <c r="N35" s="1758"/>
      <c r="O35" s="1758"/>
      <c r="P35" s="1758"/>
      <c r="Q35" s="1758"/>
      <c r="R35" s="1753" t="s">
        <v>254</v>
      </c>
      <c r="S35" s="2113"/>
    </row>
    <row r="36" spans="1:20" ht="11.5" customHeight="1">
      <c r="B36" s="1774" t="s">
        <v>574</v>
      </c>
      <c r="C36" s="1775"/>
      <c r="D36" s="1775"/>
      <c r="E36" s="1758"/>
      <c r="F36" s="1758"/>
      <c r="G36" s="1758"/>
      <c r="H36" s="1758"/>
      <c r="I36" s="1758"/>
      <c r="J36" s="1758"/>
      <c r="K36" s="1758"/>
      <c r="L36" s="1758"/>
      <c r="M36" s="1758"/>
      <c r="N36" s="1758"/>
      <c r="O36" s="1758"/>
      <c r="P36" s="1758"/>
      <c r="Q36" s="1758"/>
      <c r="S36" s="2113"/>
    </row>
    <row r="37" spans="1:20" ht="11.25" customHeight="1">
      <c r="A37" s="1758">
        <f>+A33+1</f>
        <v>21</v>
      </c>
      <c r="B37" s="1771" t="s">
        <v>575</v>
      </c>
      <c r="C37" s="1758"/>
      <c r="D37" s="1776" t="s">
        <v>1919</v>
      </c>
      <c r="E37" s="2450">
        <v>3263</v>
      </c>
      <c r="F37" s="2450">
        <v>2347</v>
      </c>
      <c r="G37" s="2450">
        <v>2226</v>
      </c>
      <c r="H37" s="2450">
        <v>2787</v>
      </c>
      <c r="I37" s="2450">
        <v>3254</v>
      </c>
      <c r="J37" s="2450">
        <v>4092</v>
      </c>
      <c r="K37" s="2450">
        <v>4160</v>
      </c>
      <c r="L37" s="2450">
        <v>4162</v>
      </c>
      <c r="M37" s="2450">
        <v>3870</v>
      </c>
      <c r="N37" s="2450">
        <v>3441</v>
      </c>
      <c r="O37" s="2450">
        <v>2230</v>
      </c>
      <c r="P37" s="2450">
        <v>2579</v>
      </c>
      <c r="Q37" s="1758"/>
      <c r="S37" s="2113"/>
    </row>
    <row r="38" spans="1:20" ht="11.25" customHeight="1">
      <c r="A38" s="1758">
        <f>+A37+1</f>
        <v>22</v>
      </c>
      <c r="B38" s="1758"/>
      <c r="C38" s="1758"/>
      <c r="D38" s="1776" t="s">
        <v>1920</v>
      </c>
      <c r="E38" s="2450">
        <v>-6</v>
      </c>
      <c r="F38" s="2450">
        <v>-6</v>
      </c>
      <c r="G38" s="2450">
        <v>-6</v>
      </c>
      <c r="H38" s="2450">
        <v>-6</v>
      </c>
      <c r="I38" s="2450">
        <v>-6</v>
      </c>
      <c r="J38" s="2450">
        <v>-6</v>
      </c>
      <c r="K38" s="2450">
        <v>-6</v>
      </c>
      <c r="L38" s="2450">
        <v>-6</v>
      </c>
      <c r="M38" s="2450">
        <v>-6</v>
      </c>
      <c r="N38" s="2450">
        <v>-7</v>
      </c>
      <c r="O38" s="2450">
        <v>-6</v>
      </c>
      <c r="P38" s="2450">
        <v>-6</v>
      </c>
      <c r="Q38" s="1758"/>
      <c r="S38" s="2113"/>
    </row>
    <row r="39" spans="1:20" ht="11.25" customHeight="1">
      <c r="A39" s="1758">
        <f t="shared" ref="A39:A46" si="5">+A38+1</f>
        <v>23</v>
      </c>
      <c r="B39" s="1758"/>
      <c r="C39" s="1758"/>
      <c r="D39" s="1776" t="s">
        <v>1921</v>
      </c>
      <c r="E39" s="2450">
        <v>-5</v>
      </c>
      <c r="F39" s="2450">
        <v>-3</v>
      </c>
      <c r="G39" s="2450">
        <v>-4</v>
      </c>
      <c r="H39" s="2450">
        <v>-4</v>
      </c>
      <c r="I39" s="2450">
        <v>-3</v>
      </c>
      <c r="J39" s="2450">
        <v>-6</v>
      </c>
      <c r="K39" s="2450">
        <v>-5</v>
      </c>
      <c r="L39" s="2450">
        <v>-5</v>
      </c>
      <c r="M39" s="2450">
        <v>-5</v>
      </c>
      <c r="N39" s="2450">
        <v>-5</v>
      </c>
      <c r="O39" s="2450">
        <v>-4</v>
      </c>
      <c r="P39" s="2450">
        <v>-4</v>
      </c>
      <c r="S39" s="2113"/>
    </row>
    <row r="40" spans="1:20" ht="11.25" customHeight="1" thickBot="1">
      <c r="B40" s="1758"/>
      <c r="C40" s="1771" t="s">
        <v>581</v>
      </c>
      <c r="D40" s="1771"/>
      <c r="E40" s="2200">
        <f t="shared" ref="E40:P40" si="6">SUM(E37:E39)</f>
        <v>3252</v>
      </c>
      <c r="F40" s="2200">
        <f t="shared" si="6"/>
        <v>2338</v>
      </c>
      <c r="G40" s="2200">
        <f t="shared" si="6"/>
        <v>2216</v>
      </c>
      <c r="H40" s="2200">
        <f t="shared" si="6"/>
        <v>2777</v>
      </c>
      <c r="I40" s="2200">
        <f t="shared" si="6"/>
        <v>3245</v>
      </c>
      <c r="J40" s="2200">
        <f t="shared" si="6"/>
        <v>4080</v>
      </c>
      <c r="K40" s="2200">
        <f t="shared" si="6"/>
        <v>4149</v>
      </c>
      <c r="L40" s="2200">
        <f t="shared" si="6"/>
        <v>4151</v>
      </c>
      <c r="M40" s="2200">
        <f t="shared" si="6"/>
        <v>3859</v>
      </c>
      <c r="N40" s="2200">
        <f t="shared" si="6"/>
        <v>3429</v>
      </c>
      <c r="O40" s="2200">
        <f t="shared" si="6"/>
        <v>2220</v>
      </c>
      <c r="P40" s="2200">
        <f t="shared" si="6"/>
        <v>2569</v>
      </c>
      <c r="Q40" s="2117">
        <f>SUM(E40:P40)/12</f>
        <v>3190.4166666666665</v>
      </c>
      <c r="S40" s="2113">
        <f>ROUND(Q40,0)</f>
        <v>3190</v>
      </c>
    </row>
    <row r="41" spans="1:20" ht="11.25" customHeight="1" thickTop="1">
      <c r="A41" s="1758">
        <f>+A39+1</f>
        <v>24</v>
      </c>
      <c r="B41" s="1771" t="s">
        <v>576</v>
      </c>
      <c r="C41" s="1758"/>
      <c r="D41" s="1758"/>
      <c r="E41" s="1758"/>
      <c r="F41" s="1758"/>
      <c r="G41" s="1758"/>
      <c r="H41" s="1758"/>
      <c r="I41" s="1758"/>
      <c r="J41" s="1758" t="s">
        <v>254</v>
      </c>
      <c r="K41" s="1758"/>
      <c r="L41" s="1758"/>
      <c r="M41" s="1758"/>
      <c r="N41" s="1758"/>
      <c r="O41" s="1758"/>
      <c r="P41" s="1758"/>
      <c r="Q41" s="2117"/>
      <c r="S41" s="2113"/>
    </row>
    <row r="42" spans="1:20" ht="12.75" customHeight="1">
      <c r="A42" s="1758">
        <f t="shared" si="5"/>
        <v>25</v>
      </c>
      <c r="B42" s="1758"/>
      <c r="C42" s="1758"/>
      <c r="D42" s="1776" t="s">
        <v>1922</v>
      </c>
      <c r="E42" s="2451">
        <v>3522</v>
      </c>
      <c r="F42" s="2451">
        <v>2628</v>
      </c>
      <c r="G42" s="2451">
        <v>2279</v>
      </c>
      <c r="H42" s="2451">
        <v>2561</v>
      </c>
      <c r="I42" s="2451">
        <v>2963</v>
      </c>
      <c r="J42" s="2451">
        <v>3502</v>
      </c>
      <c r="K42" s="2451">
        <v>3543</v>
      </c>
      <c r="L42" s="2451">
        <v>3610</v>
      </c>
      <c r="M42" s="2451">
        <v>3189</v>
      </c>
      <c r="N42" s="2451">
        <v>2774</v>
      </c>
      <c r="O42" s="2451">
        <v>2301</v>
      </c>
      <c r="P42" s="2451">
        <v>2527</v>
      </c>
      <c r="Q42" s="2117"/>
      <c r="S42" s="2113"/>
    </row>
    <row r="43" spans="1:20" ht="17.25" customHeight="1">
      <c r="A43" s="1758">
        <f t="shared" si="5"/>
        <v>26</v>
      </c>
      <c r="B43" s="1758"/>
      <c r="C43" s="1758"/>
      <c r="D43" s="1776" t="s">
        <v>1923</v>
      </c>
      <c r="E43" s="2451">
        <v>0</v>
      </c>
      <c r="F43" s="2451">
        <v>129</v>
      </c>
      <c r="G43" s="2451">
        <v>136</v>
      </c>
      <c r="H43" s="2451">
        <v>1</v>
      </c>
      <c r="I43" s="2451">
        <v>127</v>
      </c>
      <c r="J43" s="2451">
        <v>128</v>
      </c>
      <c r="K43" s="2451">
        <v>122</v>
      </c>
      <c r="L43" s="2451">
        <v>121</v>
      </c>
      <c r="M43" s="2451">
        <v>125</v>
      </c>
      <c r="N43" s="2451">
        <v>131</v>
      </c>
      <c r="O43" s="2451">
        <v>131</v>
      </c>
      <c r="P43" s="2451">
        <v>121</v>
      </c>
      <c r="Q43" s="2117"/>
      <c r="S43" s="2113"/>
    </row>
    <row r="44" spans="1:20" ht="11.5" customHeight="1">
      <c r="A44" s="1758">
        <f t="shared" si="5"/>
        <v>27</v>
      </c>
      <c r="B44" s="1758"/>
      <c r="C44" s="1758"/>
      <c r="D44" s="1776" t="s">
        <v>1924</v>
      </c>
      <c r="E44" s="2451">
        <v>-216</v>
      </c>
      <c r="F44" s="2451">
        <v>-146</v>
      </c>
      <c r="G44" s="2451">
        <v>-113</v>
      </c>
      <c r="H44" s="2451">
        <v>-76</v>
      </c>
      <c r="I44" s="2451">
        <v>-120</v>
      </c>
      <c r="J44" s="2451">
        <v>-147</v>
      </c>
      <c r="K44" s="2451">
        <v>-155</v>
      </c>
      <c r="L44" s="2451">
        <v>-157</v>
      </c>
      <c r="M44" s="2451">
        <v>-126</v>
      </c>
      <c r="N44" s="2451">
        <v>-112</v>
      </c>
      <c r="O44" s="2451">
        <v>-93</v>
      </c>
      <c r="P44" s="2451">
        <v>-128</v>
      </c>
      <c r="Q44" s="2117"/>
      <c r="S44" s="2113"/>
    </row>
    <row r="45" spans="1:20" ht="11.5" customHeight="1">
      <c r="A45" s="1758">
        <f t="shared" si="5"/>
        <v>28</v>
      </c>
      <c r="B45" s="1758"/>
      <c r="C45" s="1758"/>
      <c r="D45" s="1776" t="s">
        <v>1925</v>
      </c>
      <c r="E45" s="2451">
        <v>0</v>
      </c>
      <c r="F45" s="2451">
        <v>0</v>
      </c>
      <c r="G45" s="2451">
        <v>0</v>
      </c>
      <c r="H45" s="2451">
        <v>0</v>
      </c>
      <c r="I45" s="2451">
        <v>0</v>
      </c>
      <c r="J45" s="2451">
        <v>0</v>
      </c>
      <c r="K45" s="2451">
        <v>0</v>
      </c>
      <c r="L45" s="2451">
        <v>0</v>
      </c>
      <c r="M45" s="2451">
        <v>0</v>
      </c>
      <c r="N45" s="2451">
        <v>0</v>
      </c>
      <c r="O45" s="2451">
        <v>0</v>
      </c>
      <c r="P45" s="2451">
        <v>0</v>
      </c>
      <c r="Q45" s="2117"/>
      <c r="S45" s="2113"/>
    </row>
    <row r="46" spans="1:20" ht="11.5" customHeight="1" thickBot="1">
      <c r="A46" s="1758">
        <f t="shared" si="5"/>
        <v>29</v>
      </c>
      <c r="B46" s="1758"/>
      <c r="C46" s="1771" t="s">
        <v>582</v>
      </c>
      <c r="D46" s="1771"/>
      <c r="E46" s="2200">
        <f>SUM(E42:E45)</f>
        <v>3306</v>
      </c>
      <c r="F46" s="2200">
        <f t="shared" ref="F46:P46" si="7">SUM(F42:F45)</f>
        <v>2611</v>
      </c>
      <c r="G46" s="2200">
        <f t="shared" si="7"/>
        <v>2302</v>
      </c>
      <c r="H46" s="2200">
        <f t="shared" si="7"/>
        <v>2486</v>
      </c>
      <c r="I46" s="2200">
        <f t="shared" si="7"/>
        <v>2970</v>
      </c>
      <c r="J46" s="2200">
        <f t="shared" si="7"/>
        <v>3483</v>
      </c>
      <c r="K46" s="2200">
        <f t="shared" si="7"/>
        <v>3510</v>
      </c>
      <c r="L46" s="2200">
        <f t="shared" si="7"/>
        <v>3574</v>
      </c>
      <c r="M46" s="2200">
        <f t="shared" si="7"/>
        <v>3188</v>
      </c>
      <c r="N46" s="2200">
        <f t="shared" si="7"/>
        <v>2793</v>
      </c>
      <c r="O46" s="2200">
        <f t="shared" si="7"/>
        <v>2339</v>
      </c>
      <c r="P46" s="2200">
        <f t="shared" si="7"/>
        <v>2520</v>
      </c>
      <c r="Q46" s="2117">
        <f>SUM(E46:P46)/12</f>
        <v>2923.5</v>
      </c>
      <c r="S46" s="2113">
        <f>ROUND(Q46,0)</f>
        <v>2924</v>
      </c>
    </row>
    <row r="47" spans="1:20" ht="11.5" customHeight="1" thickTop="1">
      <c r="B47" s="1758"/>
      <c r="C47" s="1758"/>
      <c r="D47" s="1758"/>
      <c r="E47" s="1758"/>
      <c r="F47" s="1758"/>
      <c r="G47" s="1758"/>
      <c r="H47" s="1758"/>
      <c r="I47" s="1758"/>
      <c r="J47" s="1758"/>
      <c r="K47" s="1758"/>
      <c r="L47" s="1758"/>
      <c r="M47" s="1758"/>
      <c r="N47" s="1758"/>
      <c r="O47" s="1758"/>
      <c r="P47" s="1758"/>
      <c r="Q47" s="1758"/>
      <c r="S47" s="2113"/>
    </row>
    <row r="48" spans="1:20" ht="15" customHeight="1">
      <c r="A48" s="1758">
        <f>+A46+1</f>
        <v>30</v>
      </c>
      <c r="B48" s="1771" t="s">
        <v>586</v>
      </c>
      <c r="C48" s="1771"/>
      <c r="D48" s="1771"/>
      <c r="E48" s="1758"/>
      <c r="F48" s="1758"/>
      <c r="G48" s="1758"/>
      <c r="H48" s="1758"/>
      <c r="I48" s="1758"/>
      <c r="J48" s="1758"/>
      <c r="K48" s="1758"/>
      <c r="L48" s="1758"/>
      <c r="M48" s="1758"/>
      <c r="N48" s="1758"/>
      <c r="O48" s="1758"/>
      <c r="P48" s="1758"/>
      <c r="Q48" s="1777" t="s">
        <v>583</v>
      </c>
      <c r="R48" s="1752" t="s">
        <v>584</v>
      </c>
      <c r="S48" s="2114">
        <f>ROUND(Q57,0)</f>
        <v>8488</v>
      </c>
    </row>
    <row r="49" spans="1:159" ht="11.5" customHeight="1">
      <c r="A49" s="1752"/>
      <c r="B49" s="1778"/>
      <c r="C49" s="1771"/>
      <c r="D49" s="1771"/>
      <c r="G49" s="1758"/>
      <c r="R49" s="1752"/>
      <c r="S49" s="2113"/>
    </row>
    <row r="50" spans="1:159" ht="13.5" thickBot="1">
      <c r="A50" s="1752"/>
      <c r="B50" s="1779" t="s">
        <v>585</v>
      </c>
      <c r="C50" s="1780"/>
      <c r="D50" s="1766"/>
      <c r="G50" s="1758"/>
      <c r="S50" s="2113"/>
    </row>
    <row r="51" spans="1:159">
      <c r="A51" s="1752">
        <f>+A48+1</f>
        <v>31</v>
      </c>
      <c r="B51" s="1758"/>
      <c r="D51" s="1778" t="s">
        <v>1926</v>
      </c>
      <c r="E51" s="2110">
        <f>+E14</f>
        <v>3252</v>
      </c>
      <c r="F51" s="2110">
        <f t="shared" ref="F51:P51" si="8">+F14</f>
        <v>2338</v>
      </c>
      <c r="G51" s="2110">
        <f t="shared" si="8"/>
        <v>2216</v>
      </c>
      <c r="H51" s="2110">
        <f t="shared" si="8"/>
        <v>2777</v>
      </c>
      <c r="I51" s="2110">
        <f t="shared" si="8"/>
        <v>3245</v>
      </c>
      <c r="J51" s="2110">
        <f t="shared" si="8"/>
        <v>4080</v>
      </c>
      <c r="K51" s="2110">
        <f t="shared" si="8"/>
        <v>4149</v>
      </c>
      <c r="L51" s="2110">
        <f t="shared" si="8"/>
        <v>4151</v>
      </c>
      <c r="M51" s="2110">
        <f t="shared" si="8"/>
        <v>3859</v>
      </c>
      <c r="N51" s="2110">
        <f t="shared" si="8"/>
        <v>3429</v>
      </c>
      <c r="O51" s="2110">
        <f t="shared" si="8"/>
        <v>2220</v>
      </c>
      <c r="P51" s="2110">
        <f t="shared" si="8"/>
        <v>2569</v>
      </c>
      <c r="Q51" s="2110">
        <f t="shared" ref="Q51:Q56" si="9">SUM(E51:P51)/12</f>
        <v>3190.4166666666665</v>
      </c>
      <c r="S51" s="2110">
        <f t="shared" ref="S51:S57" si="10">ROUND(Q51,0)</f>
        <v>3190</v>
      </c>
    </row>
    <row r="52" spans="1:159">
      <c r="A52" s="1752">
        <f t="shared" ref="A52:A57" si="11">+A51+1</f>
        <v>32</v>
      </c>
      <c r="B52" s="1758"/>
      <c r="C52" s="1758"/>
      <c r="D52" s="1778" t="s">
        <v>1927</v>
      </c>
      <c r="E52" s="2110">
        <v>0</v>
      </c>
      <c r="F52" s="2110">
        <v>0</v>
      </c>
      <c r="G52" s="2110">
        <v>0</v>
      </c>
      <c r="H52" s="2110">
        <v>0</v>
      </c>
      <c r="I52" s="2110">
        <v>0</v>
      </c>
      <c r="J52" s="2110">
        <v>0</v>
      </c>
      <c r="K52" s="2110">
        <v>0</v>
      </c>
      <c r="L52" s="2110">
        <v>0</v>
      </c>
      <c r="M52" s="2110">
        <v>0</v>
      </c>
      <c r="N52" s="2110">
        <v>0</v>
      </c>
      <c r="O52" s="2110">
        <v>0</v>
      </c>
      <c r="P52" s="2110">
        <v>0</v>
      </c>
      <c r="Q52" s="2110">
        <f t="shared" si="9"/>
        <v>0</v>
      </c>
      <c r="S52" s="2110">
        <f t="shared" si="10"/>
        <v>0</v>
      </c>
    </row>
    <row r="53" spans="1:159">
      <c r="A53" s="1752">
        <f t="shared" si="11"/>
        <v>33</v>
      </c>
      <c r="B53" s="1758"/>
      <c r="C53" s="1758"/>
      <c r="D53" s="1778" t="s">
        <v>1928</v>
      </c>
      <c r="E53" s="2110">
        <v>0</v>
      </c>
      <c r="F53" s="2110">
        <v>0</v>
      </c>
      <c r="G53" s="2110">
        <v>0</v>
      </c>
      <c r="H53" s="2110">
        <v>0</v>
      </c>
      <c r="I53" s="2110">
        <v>0</v>
      </c>
      <c r="J53" s="2110">
        <v>0</v>
      </c>
      <c r="K53" s="2110">
        <v>0</v>
      </c>
      <c r="L53" s="2110">
        <v>0</v>
      </c>
      <c r="M53" s="2110">
        <v>0</v>
      </c>
      <c r="N53" s="2110">
        <v>0</v>
      </c>
      <c r="O53" s="2110">
        <v>0</v>
      </c>
      <c r="P53" s="2110">
        <v>0</v>
      </c>
      <c r="Q53" s="2110">
        <f t="shared" si="9"/>
        <v>0</v>
      </c>
      <c r="S53" s="2110">
        <f t="shared" si="10"/>
        <v>0</v>
      </c>
    </row>
    <row r="54" spans="1:159">
      <c r="A54" s="1752">
        <f t="shared" si="11"/>
        <v>34</v>
      </c>
      <c r="B54" s="1758"/>
      <c r="C54" s="1758"/>
      <c r="D54" s="1778" t="s">
        <v>1929</v>
      </c>
      <c r="E54" s="2110">
        <f>+E51-E52-E53</f>
        <v>3252</v>
      </c>
      <c r="F54" s="2110">
        <f t="shared" ref="F54:P54" si="12">+F51-F52-F53</f>
        <v>2338</v>
      </c>
      <c r="G54" s="2110">
        <f t="shared" si="12"/>
        <v>2216</v>
      </c>
      <c r="H54" s="2110">
        <f t="shared" si="12"/>
        <v>2777</v>
      </c>
      <c r="I54" s="2110">
        <f t="shared" si="12"/>
        <v>3245</v>
      </c>
      <c r="J54" s="2110">
        <f t="shared" si="12"/>
        <v>4080</v>
      </c>
      <c r="K54" s="2110">
        <f t="shared" si="12"/>
        <v>4149</v>
      </c>
      <c r="L54" s="2110">
        <f t="shared" si="12"/>
        <v>4151</v>
      </c>
      <c r="M54" s="2110">
        <f t="shared" si="12"/>
        <v>3859</v>
      </c>
      <c r="N54" s="2110">
        <f t="shared" si="12"/>
        <v>3429</v>
      </c>
      <c r="O54" s="2110">
        <f t="shared" si="12"/>
        <v>2220</v>
      </c>
      <c r="P54" s="2110">
        <f t="shared" si="12"/>
        <v>2569</v>
      </c>
      <c r="Q54" s="2110">
        <f t="shared" si="9"/>
        <v>3190.4166666666665</v>
      </c>
      <c r="S54" s="2110">
        <f t="shared" si="10"/>
        <v>3190</v>
      </c>
    </row>
    <row r="55" spans="1:159">
      <c r="A55" s="1752">
        <f t="shared" si="11"/>
        <v>35</v>
      </c>
      <c r="B55" s="1758"/>
      <c r="C55" s="1758"/>
      <c r="D55" s="1778" t="s">
        <v>1930</v>
      </c>
      <c r="E55" s="2110">
        <f t="shared" ref="E55:P55" si="13">+E15</f>
        <v>3306</v>
      </c>
      <c r="F55" s="2110">
        <f t="shared" si="13"/>
        <v>2611</v>
      </c>
      <c r="G55" s="2110">
        <f t="shared" si="13"/>
        <v>2302</v>
      </c>
      <c r="H55" s="2110">
        <f t="shared" si="13"/>
        <v>2486</v>
      </c>
      <c r="I55" s="2110">
        <f t="shared" si="13"/>
        <v>2970</v>
      </c>
      <c r="J55" s="2110">
        <f t="shared" si="13"/>
        <v>3483</v>
      </c>
      <c r="K55" s="2110">
        <f t="shared" si="13"/>
        <v>3510</v>
      </c>
      <c r="L55" s="2110">
        <f t="shared" si="13"/>
        <v>3574</v>
      </c>
      <c r="M55" s="2110">
        <f t="shared" si="13"/>
        <v>3188</v>
      </c>
      <c r="N55" s="2110">
        <f t="shared" si="13"/>
        <v>2793</v>
      </c>
      <c r="O55" s="2110">
        <f t="shared" si="13"/>
        <v>2339</v>
      </c>
      <c r="P55" s="2110">
        <f t="shared" si="13"/>
        <v>2520</v>
      </c>
      <c r="Q55" s="2110">
        <f t="shared" si="9"/>
        <v>2923.5</v>
      </c>
      <c r="S55" s="2110">
        <f t="shared" si="10"/>
        <v>2924</v>
      </c>
    </row>
    <row r="56" spans="1:159" ht="13" thickBot="1">
      <c r="A56" s="1752">
        <f t="shared" si="11"/>
        <v>36</v>
      </c>
      <c r="C56" s="1778" t="s">
        <v>586</v>
      </c>
      <c r="D56" s="1778"/>
      <c r="E56" s="2111">
        <f>+E54+E55</f>
        <v>6558</v>
      </c>
      <c r="F56" s="2111">
        <f t="shared" ref="F56:P56" si="14">+F54+F55</f>
        <v>4949</v>
      </c>
      <c r="G56" s="2111">
        <f t="shared" si="14"/>
        <v>4518</v>
      </c>
      <c r="H56" s="2111">
        <f t="shared" si="14"/>
        <v>5263</v>
      </c>
      <c r="I56" s="2111">
        <f t="shared" si="14"/>
        <v>6215</v>
      </c>
      <c r="J56" s="2111">
        <f t="shared" si="14"/>
        <v>7563</v>
      </c>
      <c r="K56" s="2111">
        <f t="shared" si="14"/>
        <v>7659</v>
      </c>
      <c r="L56" s="2111">
        <f t="shared" si="14"/>
        <v>7725</v>
      </c>
      <c r="M56" s="2111">
        <f t="shared" si="14"/>
        <v>7047</v>
      </c>
      <c r="N56" s="2111">
        <f t="shared" si="14"/>
        <v>6222</v>
      </c>
      <c r="O56" s="2111">
        <f t="shared" si="14"/>
        <v>4559</v>
      </c>
      <c r="P56" s="2111">
        <f t="shared" si="14"/>
        <v>5089</v>
      </c>
      <c r="Q56" s="2110">
        <f t="shared" si="9"/>
        <v>6113.916666666667</v>
      </c>
      <c r="S56" s="2110">
        <f t="shared" si="10"/>
        <v>6114</v>
      </c>
    </row>
    <row r="57" spans="1:159" ht="13.5" thickTop="1" thickBot="1">
      <c r="A57" s="1752">
        <f t="shared" si="11"/>
        <v>37</v>
      </c>
      <c r="C57" s="1753"/>
      <c r="D57" s="1781" t="s">
        <v>587</v>
      </c>
      <c r="E57" s="2111">
        <f t="shared" ref="E57:P57" si="15">E33-E52-E53</f>
        <v>9977</v>
      </c>
      <c r="F57" s="2111">
        <f t="shared" si="15"/>
        <v>7283</v>
      </c>
      <c r="G57" s="2111">
        <f t="shared" si="15"/>
        <v>6466</v>
      </c>
      <c r="H57" s="2111">
        <f t="shared" si="15"/>
        <v>6964</v>
      </c>
      <c r="I57" s="2111">
        <f t="shared" si="15"/>
        <v>8408</v>
      </c>
      <c r="J57" s="2111">
        <f t="shared" si="15"/>
        <v>10346</v>
      </c>
      <c r="K57" s="2111">
        <f t="shared" si="15"/>
        <v>10457</v>
      </c>
      <c r="L57" s="2111">
        <f t="shared" si="15"/>
        <v>10593</v>
      </c>
      <c r="M57" s="2111">
        <f t="shared" si="15"/>
        <v>9536</v>
      </c>
      <c r="N57" s="2111">
        <f t="shared" si="15"/>
        <v>8415</v>
      </c>
      <c r="O57" s="2111">
        <f t="shared" si="15"/>
        <v>6090</v>
      </c>
      <c r="P57" s="2111">
        <f t="shared" si="15"/>
        <v>7316</v>
      </c>
      <c r="Q57" s="2110">
        <f>SUM(E57:P57)/12</f>
        <v>8487.5833333333339</v>
      </c>
      <c r="S57" s="2110">
        <f t="shared" si="10"/>
        <v>8488</v>
      </c>
    </row>
    <row r="58" spans="1:159" ht="13" thickTop="1">
      <c r="A58" s="1752"/>
      <c r="C58" s="1753"/>
      <c r="D58" s="1781"/>
      <c r="E58" s="1758"/>
      <c r="F58" s="1758"/>
      <c r="G58" s="1758"/>
      <c r="H58" s="1758"/>
      <c r="I58" s="1758"/>
      <c r="J58" s="1758"/>
      <c r="K58" s="1758"/>
      <c r="L58" s="1758"/>
      <c r="M58" s="1758"/>
      <c r="N58" s="1758"/>
      <c r="O58" s="1758"/>
      <c r="P58" s="1758"/>
      <c r="Q58" s="1771"/>
    </row>
    <row r="59" spans="1:159" s="1785" customFormat="1" ht="11.5">
      <c r="A59" s="1782"/>
      <c r="B59" s="1783" t="s">
        <v>1231</v>
      </c>
      <c r="C59" s="1784" t="s">
        <v>1232</v>
      </c>
      <c r="D59" s="1782" t="s">
        <v>1233</v>
      </c>
      <c r="I59" s="1786"/>
      <c r="J59" s="1786"/>
      <c r="K59" s="1786"/>
      <c r="L59" s="1786"/>
      <c r="M59" s="1786"/>
      <c r="N59" s="1786"/>
      <c r="O59" s="1786"/>
      <c r="P59" s="1786"/>
      <c r="R59" s="1786"/>
    </row>
    <row r="60" spans="1:159" s="1788" customFormat="1" ht="60.75" customHeight="1">
      <c r="A60" s="1785"/>
      <c r="B60" s="1785"/>
      <c r="C60" s="1787" t="s">
        <v>1234</v>
      </c>
      <c r="D60" s="2262" t="s">
        <v>1235</v>
      </c>
      <c r="E60" s="2262"/>
      <c r="F60" s="2262"/>
      <c r="G60" s="2262"/>
      <c r="H60" s="2262"/>
      <c r="I60" s="2262"/>
      <c r="J60" s="2262"/>
      <c r="K60" s="2262"/>
      <c r="L60" s="2262"/>
      <c r="M60" s="2262"/>
      <c r="N60" s="2262"/>
      <c r="O60" s="2262"/>
      <c r="P60" s="1785"/>
      <c r="Q60" s="1785"/>
      <c r="R60" s="1786"/>
      <c r="S60" s="1785"/>
      <c r="T60" s="1785"/>
      <c r="U60" s="1785"/>
      <c r="V60" s="1785"/>
      <c r="W60" s="1785"/>
      <c r="X60" s="1785"/>
      <c r="Y60" s="1785"/>
      <c r="Z60" s="1785"/>
      <c r="AA60" s="1785"/>
      <c r="AB60" s="1785"/>
      <c r="AC60" s="1785"/>
      <c r="AD60" s="1785"/>
      <c r="AE60" s="1785"/>
      <c r="AF60" s="1785"/>
      <c r="AG60" s="1785"/>
      <c r="AH60" s="1785"/>
      <c r="AI60" s="1785"/>
      <c r="AJ60" s="1785"/>
      <c r="AK60" s="1785"/>
      <c r="AL60" s="1785"/>
      <c r="AM60" s="1785"/>
      <c r="AN60" s="1785"/>
      <c r="AO60" s="1785"/>
      <c r="AP60" s="1785"/>
      <c r="AQ60" s="1785"/>
      <c r="AR60" s="1785"/>
      <c r="AS60" s="1785"/>
      <c r="AT60" s="1785"/>
      <c r="AU60" s="1785"/>
      <c r="AV60" s="1785"/>
      <c r="AW60" s="1785"/>
      <c r="AX60" s="1785"/>
      <c r="AY60" s="1785"/>
      <c r="AZ60" s="1785"/>
      <c r="BA60" s="1785"/>
      <c r="BB60" s="1785"/>
      <c r="BC60" s="1785"/>
      <c r="BD60" s="1785"/>
      <c r="BE60" s="1785"/>
      <c r="BF60" s="1785"/>
      <c r="BG60" s="1785"/>
      <c r="BH60" s="1785"/>
      <c r="BI60" s="1785"/>
      <c r="BJ60" s="1785"/>
      <c r="BK60" s="1785"/>
      <c r="BL60" s="1785"/>
      <c r="BM60" s="1785"/>
      <c r="BN60" s="1785"/>
      <c r="BO60" s="1785"/>
      <c r="BP60" s="1785"/>
      <c r="BQ60" s="1785"/>
      <c r="BR60" s="1785"/>
      <c r="BS60" s="1785"/>
      <c r="BT60" s="1785"/>
      <c r="BU60" s="1785"/>
      <c r="BV60" s="1785"/>
      <c r="BW60" s="1785"/>
      <c r="BX60" s="1785"/>
      <c r="BY60" s="1785"/>
      <c r="BZ60" s="1785"/>
      <c r="CA60" s="1785"/>
      <c r="CB60" s="1785"/>
      <c r="CC60" s="1785"/>
      <c r="CD60" s="1785"/>
      <c r="CE60" s="1785"/>
      <c r="CF60" s="1785"/>
      <c r="CG60" s="1785"/>
      <c r="CH60" s="1785"/>
      <c r="CI60" s="1785"/>
      <c r="CJ60" s="1785"/>
      <c r="CK60" s="1785"/>
      <c r="CL60" s="1785"/>
      <c r="CM60" s="1785"/>
      <c r="CN60" s="1785"/>
      <c r="CO60" s="1785"/>
      <c r="CP60" s="1785"/>
      <c r="CQ60" s="1785"/>
      <c r="CR60" s="1785"/>
      <c r="CS60" s="1785"/>
      <c r="CT60" s="1785"/>
      <c r="CU60" s="1785"/>
      <c r="CV60" s="1785"/>
      <c r="CW60" s="1785"/>
      <c r="CX60" s="1785"/>
      <c r="CY60" s="1785"/>
      <c r="CZ60" s="1785"/>
      <c r="DA60" s="1785"/>
      <c r="DB60" s="1785"/>
      <c r="DC60" s="1785"/>
      <c r="DD60" s="1785"/>
      <c r="DE60" s="1785"/>
      <c r="DF60" s="1785"/>
      <c r="DG60" s="1785"/>
      <c r="DH60" s="1785"/>
      <c r="DI60" s="1785"/>
      <c r="DJ60" s="1785"/>
      <c r="DK60" s="1785"/>
      <c r="DL60" s="1785"/>
      <c r="DM60" s="1785"/>
      <c r="DN60" s="1785"/>
      <c r="DO60" s="1785"/>
      <c r="DP60" s="1785"/>
      <c r="DQ60" s="1785"/>
      <c r="DR60" s="1785"/>
      <c r="DS60" s="1785"/>
      <c r="DT60" s="1785"/>
      <c r="DU60" s="1785"/>
      <c r="DV60" s="1785"/>
      <c r="DW60" s="1785"/>
      <c r="DX60" s="1785"/>
      <c r="DY60" s="1785"/>
      <c r="DZ60" s="1785"/>
      <c r="EA60" s="1785"/>
      <c r="EB60" s="1785"/>
      <c r="EC60" s="1785"/>
      <c r="ED60" s="1785"/>
      <c r="EE60" s="1785"/>
      <c r="EF60" s="1785"/>
      <c r="EG60" s="1785"/>
      <c r="EH60" s="1785"/>
      <c r="EI60" s="1785"/>
      <c r="EJ60" s="1785"/>
      <c r="EK60" s="1785"/>
      <c r="EL60" s="1785"/>
      <c r="EM60" s="1785"/>
      <c r="EN60" s="1785"/>
      <c r="EO60" s="1785"/>
      <c r="EP60" s="1785"/>
      <c r="EQ60" s="1785"/>
      <c r="ER60" s="1785"/>
      <c r="ES60" s="1785"/>
      <c r="ET60" s="1785"/>
      <c r="EU60" s="1785"/>
      <c r="EV60" s="1785"/>
      <c r="EW60" s="1785"/>
      <c r="EX60" s="1785"/>
      <c r="EY60" s="1785"/>
      <c r="EZ60" s="1785"/>
      <c r="FA60" s="1785"/>
      <c r="FB60" s="1785"/>
      <c r="FC60" s="1785"/>
    </row>
    <row r="61" spans="1:159" s="1785" customFormat="1" ht="11.5">
      <c r="C61" s="2262" t="s">
        <v>1236</v>
      </c>
      <c r="D61" s="2262"/>
      <c r="E61" s="2262"/>
      <c r="F61" s="2262"/>
      <c r="G61" s="2262"/>
      <c r="H61" s="2262"/>
      <c r="I61" s="2262"/>
      <c r="J61" s="2262"/>
      <c r="K61" s="2262"/>
      <c r="L61" s="2262"/>
      <c r="M61" s="2262"/>
      <c r="N61" s="2262"/>
      <c r="O61" s="1787"/>
      <c r="R61" s="1786"/>
    </row>
    <row r="62" spans="1:159" ht="13.5" customHeight="1">
      <c r="A62" s="1752"/>
      <c r="C62" s="1789"/>
      <c r="D62"/>
    </row>
    <row r="63" spans="1:159">
      <c r="C63" s="1789"/>
      <c r="D63" s="1789"/>
      <c r="Q63" s="1772"/>
      <c r="R63" s="1758"/>
    </row>
    <row r="64" spans="1:159">
      <c r="A64" s="1752"/>
      <c r="C64" s="1789"/>
      <c r="D64"/>
      <c r="Q64" s="1772"/>
      <c r="R64" s="1758"/>
    </row>
    <row r="65" spans="1:18">
      <c r="A65" s="1752"/>
      <c r="Q65" s="1772"/>
      <c r="R65" s="1758"/>
    </row>
    <row r="67" spans="1:18">
      <c r="A67" s="1752"/>
      <c r="Q67" s="1772"/>
    </row>
  </sheetData>
  <mergeCells count="2">
    <mergeCell ref="D60:O60"/>
    <mergeCell ref="C61:N61"/>
  </mergeCells>
  <pageMargins left="0.5" right="0.5" top="0.6" bottom="0.5" header="0.5" footer="0.28999999999999998"/>
  <pageSetup scale="10" orientation="landscape" r:id="rId1"/>
  <headerFooter alignWithMargins="0">
    <oddHeader xml:space="preserve">&amp;C
&amp;RAEP - SPP Formula Rate
LOAD WORKSHEET
Page: &amp;P of &amp;N
</oddHeader>
    <oddFooter xml:space="preserve">&amp;L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99"/>
  <sheetViews>
    <sheetView topLeftCell="A30" zoomScale="81" zoomScaleNormal="81" zoomScaleSheetLayoutView="75" zoomScalePageLayoutView="80" workbookViewId="0">
      <selection activeCell="D66" sqref="D66"/>
    </sheetView>
  </sheetViews>
  <sheetFormatPr defaultColWidth="9.1796875" defaultRowHeight="15.5"/>
  <cols>
    <col min="1" max="1" width="4.54296875" style="1175" customWidth="1"/>
    <col min="2" max="2" width="7.453125" style="1175" customWidth="1"/>
    <col min="3" max="6" width="12.54296875" style="1175" customWidth="1"/>
    <col min="7" max="7" width="17.1796875" style="1175" customWidth="1"/>
    <col min="8" max="9" width="12.54296875" style="1175" customWidth="1"/>
    <col min="10" max="10" width="12" style="1175" customWidth="1"/>
    <col min="11" max="11" width="16.453125" style="1175" bestFit="1" customWidth="1"/>
    <col min="12" max="12" width="22.1796875" style="1175" bestFit="1" customWidth="1"/>
    <col min="13" max="13" width="22.1796875" style="681" bestFit="1" customWidth="1"/>
    <col min="14" max="14" width="14.54296875" style="1175" customWidth="1"/>
    <col min="15" max="38" width="12.54296875" style="1175" customWidth="1"/>
    <col min="39" max="16384" width="9.1796875" style="1175"/>
  </cols>
  <sheetData>
    <row r="1" spans="1:22">
      <c r="A1" s="206"/>
    </row>
    <row r="2" spans="1:22">
      <c r="N2" s="1176"/>
    </row>
    <row r="3" spans="1:22">
      <c r="A3" s="2284" t="str">
        <f>+'SWEPCO TCOS'!F4</f>
        <v xml:space="preserve">AEP West SPP Member Operating Companies </v>
      </c>
      <c r="B3" s="2284"/>
      <c r="C3" s="2284"/>
      <c r="D3" s="2284"/>
      <c r="E3" s="2284"/>
      <c r="F3" s="2284"/>
      <c r="G3" s="2284"/>
      <c r="H3" s="2284"/>
      <c r="I3" s="2284"/>
      <c r="J3" s="2284"/>
      <c r="K3" s="2284"/>
      <c r="L3" s="2284"/>
      <c r="M3" s="2284"/>
      <c r="N3" s="2284"/>
    </row>
    <row r="4" spans="1:22">
      <c r="A4" s="2427" t="str">
        <f>+'SWEPCO WS A-1 - Plant'!A3</f>
        <v xml:space="preserve">Actual / Projected 2024 Rate Year Cost of Service Formula Rate </v>
      </c>
      <c r="B4" s="2402"/>
      <c r="C4" s="2402"/>
      <c r="D4" s="2402"/>
      <c r="E4" s="2402"/>
      <c r="F4" s="2402"/>
      <c r="G4" s="2402"/>
      <c r="H4" s="2402"/>
      <c r="I4" s="2402"/>
      <c r="J4" s="2402"/>
      <c r="K4" s="2402"/>
      <c r="L4" s="2402"/>
      <c r="M4" s="2402"/>
      <c r="N4" s="2402"/>
    </row>
    <row r="5" spans="1:22" ht="15.75" customHeight="1">
      <c r="A5" s="2402" t="s">
        <v>623</v>
      </c>
      <c r="B5" s="2402"/>
      <c r="C5" s="2402"/>
      <c r="D5" s="2402"/>
      <c r="E5" s="2402"/>
      <c r="F5" s="2402"/>
      <c r="G5" s="2402"/>
      <c r="H5" s="2402"/>
      <c r="I5" s="2402"/>
      <c r="J5" s="2402"/>
      <c r="K5" s="2402"/>
      <c r="L5" s="2402"/>
      <c r="M5" s="2402"/>
      <c r="N5" s="2402"/>
      <c r="O5" s="1283"/>
      <c r="P5" s="1283"/>
      <c r="Q5" s="1283"/>
      <c r="R5" s="1283"/>
      <c r="S5" s="1283"/>
      <c r="T5" s="1283"/>
      <c r="U5" s="1283"/>
    </row>
    <row r="6" spans="1:22">
      <c r="A6" s="2340" t="str">
        <f>+'SWEPCO TCOS'!F8</f>
        <v>SOUTHWESTERN ELECTRIC POWER COMPANY</v>
      </c>
      <c r="B6" s="2340"/>
      <c r="C6" s="2340"/>
      <c r="D6" s="2340"/>
      <c r="E6" s="2340"/>
      <c r="F6" s="2340"/>
      <c r="G6" s="2340"/>
      <c r="H6" s="2340"/>
      <c r="I6" s="2340"/>
      <c r="J6" s="2340"/>
      <c r="K6" s="2340"/>
      <c r="L6" s="2340"/>
      <c r="M6" s="2340"/>
      <c r="N6" s="2340"/>
    </row>
    <row r="7" spans="1:22" ht="25">
      <c r="A7" s="1177"/>
      <c r="B7" s="1178"/>
      <c r="C7" s="1178"/>
      <c r="D7" s="1178"/>
      <c r="E7" s="1178"/>
      <c r="F7" s="1178"/>
      <c r="G7" s="1178"/>
      <c r="H7" s="1178"/>
      <c r="I7" s="1178"/>
      <c r="J7" s="1178"/>
      <c r="K7" s="1178"/>
      <c r="L7" s="626"/>
      <c r="M7" s="1179"/>
    </row>
    <row r="8" spans="1:22" ht="20">
      <c r="A8" s="1180"/>
      <c r="B8" s="1178"/>
      <c r="C8" s="1178"/>
      <c r="D8" s="1178"/>
      <c r="E8" s="1178"/>
      <c r="F8" s="1178"/>
      <c r="G8" s="1178"/>
      <c r="H8" s="1178"/>
      <c r="I8" s="1178"/>
      <c r="J8" s="1178"/>
      <c r="K8" s="1178"/>
      <c r="L8" s="1178"/>
      <c r="M8" s="1181"/>
    </row>
    <row r="9" spans="1:22" ht="20">
      <c r="A9" s="1178"/>
      <c r="B9" s="1178"/>
      <c r="C9" s="1607"/>
      <c r="D9" s="1607"/>
      <c r="E9" s="1607"/>
      <c r="F9" s="1607"/>
      <c r="G9" s="1607"/>
      <c r="H9" s="1607"/>
      <c r="I9" s="1607"/>
      <c r="J9" s="1607"/>
      <c r="K9" s="1183" t="s">
        <v>319</v>
      </c>
      <c r="L9" s="1183" t="s">
        <v>210</v>
      </c>
      <c r="M9" s="1184"/>
      <c r="N9" s="354"/>
      <c r="P9" s="354"/>
      <c r="R9" s="354"/>
      <c r="S9" s="354"/>
      <c r="T9" s="354"/>
      <c r="U9" s="286"/>
      <c r="V9" s="286"/>
    </row>
    <row r="10" spans="1:22" ht="20">
      <c r="A10" s="1607"/>
      <c r="B10" s="1185" t="s">
        <v>621</v>
      </c>
      <c r="C10" s="1607"/>
      <c r="D10" s="1607"/>
      <c r="E10" s="1607"/>
      <c r="F10" s="1607"/>
      <c r="G10" s="1607"/>
      <c r="H10" s="1607"/>
      <c r="I10" s="1607"/>
      <c r="J10" s="1178"/>
      <c r="K10" s="1183" t="s">
        <v>320</v>
      </c>
      <c r="L10" s="1183" t="s">
        <v>255</v>
      </c>
      <c r="M10" s="1183" t="s">
        <v>255</v>
      </c>
      <c r="N10" s="354"/>
      <c r="O10" s="354"/>
      <c r="P10" s="354"/>
      <c r="Q10" s="354"/>
      <c r="R10" s="354"/>
      <c r="S10" s="354"/>
      <c r="T10" s="1186"/>
      <c r="U10" s="286"/>
      <c r="V10" s="286"/>
    </row>
    <row r="11" spans="1:22" ht="20">
      <c r="A11" s="1607"/>
      <c r="B11" s="1187"/>
      <c r="C11" s="1178"/>
      <c r="D11" s="1607"/>
      <c r="E11" s="1607"/>
      <c r="F11" s="1607"/>
      <c r="G11" s="1607"/>
      <c r="H11" s="1607"/>
      <c r="I11" s="1607"/>
      <c r="J11" s="1178"/>
      <c r="K11" s="1607"/>
      <c r="L11" s="1607"/>
      <c r="M11" s="1188"/>
      <c r="N11" s="354"/>
      <c r="O11" s="354"/>
      <c r="P11" s="354"/>
      <c r="Q11" s="354"/>
      <c r="R11" s="354"/>
      <c r="S11" s="354"/>
      <c r="T11" s="1186"/>
      <c r="U11" s="286"/>
      <c r="V11" s="286"/>
    </row>
    <row r="12" spans="1:22" ht="20.25" customHeight="1">
      <c r="A12" s="1607"/>
      <c r="B12" s="1183">
        <v>1</v>
      </c>
      <c r="C12" s="1190" t="s">
        <v>665</v>
      </c>
      <c r="D12" s="1178"/>
      <c r="E12" s="1178"/>
      <c r="F12" s="1607"/>
      <c r="G12" s="1178"/>
      <c r="H12" s="1178"/>
      <c r="I12" s="1607"/>
      <c r="J12" s="1178"/>
      <c r="K12" s="2461">
        <v>5131948.3100000015</v>
      </c>
      <c r="L12" s="1192">
        <f>+K12-M12</f>
        <v>5131948.3100000015</v>
      </c>
      <c r="M12" s="2462">
        <v>0</v>
      </c>
      <c r="N12"/>
      <c r="O12"/>
      <c r="P12" s="286"/>
      <c r="Q12" s="286"/>
      <c r="R12" s="286"/>
      <c r="S12" s="286"/>
      <c r="T12" s="354"/>
      <c r="U12" s="286"/>
      <c r="V12" s="286"/>
    </row>
    <row r="13" spans="1:22" ht="20.25" customHeight="1">
      <c r="A13" s="1607"/>
      <c r="B13" s="1189"/>
      <c r="C13" s="1187"/>
      <c r="D13" s="1178"/>
      <c r="E13" s="1178"/>
      <c r="F13" s="1607"/>
      <c r="G13" s="1178"/>
      <c r="H13" s="1178"/>
      <c r="I13" s="1607"/>
      <c r="J13" s="1178"/>
      <c r="K13" s="1608"/>
      <c r="L13" s="1194"/>
      <c r="M13" s="2144"/>
      <c r="N13"/>
      <c r="O13"/>
      <c r="P13" s="286"/>
      <c r="Q13" s="286"/>
      <c r="R13" s="286"/>
      <c r="S13" s="286"/>
      <c r="T13" s="354"/>
      <c r="U13" s="286"/>
      <c r="V13" s="286"/>
    </row>
    <row r="14" spans="1:22" ht="20">
      <c r="A14" s="1607"/>
      <c r="B14" s="1183">
        <f>+B12+1</f>
        <v>2</v>
      </c>
      <c r="C14" s="181" t="s">
        <v>636</v>
      </c>
      <c r="D14" s="1178"/>
      <c r="E14" s="1178"/>
      <c r="F14" s="1607"/>
      <c r="G14" s="1178"/>
      <c r="H14" s="1194"/>
      <c r="I14" s="1607"/>
      <c r="J14" s="1178"/>
      <c r="K14" s="2461">
        <v>1647788.849999998</v>
      </c>
      <c r="L14" s="1192">
        <f>+K14-M14</f>
        <v>1647788.849999998</v>
      </c>
      <c r="M14" s="2462">
        <v>0</v>
      </c>
      <c r="N14"/>
      <c r="O14"/>
      <c r="P14" s="286"/>
      <c r="Q14" s="286"/>
      <c r="R14" s="286"/>
      <c r="S14" s="286"/>
      <c r="T14" s="286"/>
      <c r="U14" s="286"/>
      <c r="V14" s="286"/>
    </row>
    <row r="15" spans="1:22" ht="20.5">
      <c r="A15" s="1607"/>
      <c r="B15" s="1189"/>
      <c r="C15" s="1187"/>
      <c r="D15" s="1178"/>
      <c r="E15" s="1178"/>
      <c r="F15" s="1607"/>
      <c r="G15" s="1178"/>
      <c r="H15" s="1194"/>
      <c r="I15" s="1607"/>
      <c r="J15" s="1607"/>
      <c r="K15" s="1608"/>
      <c r="L15" s="1607"/>
      <c r="M15" s="2145"/>
      <c r="N15"/>
      <c r="O15"/>
      <c r="P15" s="286"/>
      <c r="Q15" s="286"/>
      <c r="R15" s="286"/>
      <c r="S15" s="286"/>
      <c r="T15" s="286"/>
      <c r="U15" s="286"/>
      <c r="V15" s="286"/>
    </row>
    <row r="16" spans="1:22" ht="18">
      <c r="A16" s="1607"/>
      <c r="C16" s="1190" t="s">
        <v>666</v>
      </c>
      <c r="D16" s="1178"/>
      <c r="E16" s="1178"/>
      <c r="F16" s="1607"/>
      <c r="G16" s="1178"/>
      <c r="H16" s="1178"/>
      <c r="I16" s="1607"/>
      <c r="J16" s="1607"/>
      <c r="K16" s="1608"/>
      <c r="L16" s="1192"/>
      <c r="M16" s="2159"/>
      <c r="N16"/>
      <c r="O16"/>
      <c r="P16" s="286"/>
      <c r="Q16" s="286"/>
      <c r="R16" s="286"/>
      <c r="S16" s="286"/>
      <c r="T16" s="286"/>
      <c r="U16" s="286"/>
      <c r="V16" s="286"/>
    </row>
    <row r="17" spans="1:22" ht="20.5">
      <c r="A17" s="1607"/>
      <c r="B17" s="1189"/>
      <c r="C17" s="1197"/>
      <c r="D17" s="1184" t="s">
        <v>95</v>
      </c>
      <c r="E17" s="1178"/>
      <c r="F17" s="1607"/>
      <c r="G17" s="1609"/>
      <c r="H17" s="1194"/>
      <c r="I17" s="1607"/>
      <c r="J17" s="1607"/>
      <c r="K17" s="2461">
        <v>1524054.0679999995</v>
      </c>
      <c r="L17" s="1192">
        <f>+K17-M17</f>
        <v>1158089.1439999994</v>
      </c>
      <c r="M17" s="2462">
        <v>365964.92400000006</v>
      </c>
      <c r="N17"/>
      <c r="O17"/>
      <c r="P17" s="286"/>
      <c r="Q17" s="286"/>
      <c r="R17" s="286"/>
      <c r="S17" s="286"/>
      <c r="T17" s="286"/>
      <c r="U17" s="286"/>
      <c r="V17" s="286"/>
    </row>
    <row r="18" spans="1:22" ht="20.5">
      <c r="A18" s="1607"/>
      <c r="B18" s="1189"/>
      <c r="C18" s="1199"/>
      <c r="D18" s="1184" t="s">
        <v>96</v>
      </c>
      <c r="E18" s="1178"/>
      <c r="F18" s="1607"/>
      <c r="G18" s="1609"/>
      <c r="H18" s="1194"/>
      <c r="I18" s="1607"/>
      <c r="J18" s="1607"/>
      <c r="K18" s="2461">
        <v>1389039.3099999998</v>
      </c>
      <c r="L18" s="1192">
        <f>+K18-M18</f>
        <v>1296537.7399999998</v>
      </c>
      <c r="M18" s="2462">
        <v>92501.57</v>
      </c>
      <c r="N18"/>
      <c r="O18"/>
      <c r="P18" s="286"/>
      <c r="Q18" s="286"/>
      <c r="R18" s="286"/>
      <c r="S18" s="286"/>
      <c r="T18" s="286"/>
      <c r="U18" s="286"/>
      <c r="V18" s="286"/>
    </row>
    <row r="19" spans="1:22" ht="20.5">
      <c r="A19" s="1607"/>
      <c r="B19" s="1189"/>
      <c r="C19" s="1199"/>
      <c r="D19" s="1184" t="s">
        <v>410</v>
      </c>
      <c r="E19" s="1178"/>
      <c r="F19" s="1607"/>
      <c r="G19" s="1609"/>
      <c r="H19" s="1194"/>
      <c r="I19" s="1607"/>
      <c r="J19" s="1607"/>
      <c r="K19" s="2461">
        <v>7047458.8299999991</v>
      </c>
      <c r="L19" s="1192">
        <f>+K19-M19</f>
        <v>7018015.6599999992</v>
      </c>
      <c r="M19" s="2462">
        <v>29443.170000000006</v>
      </c>
      <c r="N19"/>
      <c r="O19"/>
      <c r="P19" s="286"/>
      <c r="Q19" s="286"/>
      <c r="R19" s="286"/>
      <c r="S19" s="286"/>
      <c r="T19" s="286"/>
      <c r="U19" s="286"/>
      <c r="V19" s="286"/>
    </row>
    <row r="20" spans="1:22" ht="20.5">
      <c r="A20" s="1607"/>
      <c r="B20" s="1189"/>
      <c r="C20" s="1199"/>
      <c r="D20" s="1200" t="s">
        <v>97</v>
      </c>
      <c r="E20" s="1178"/>
      <c r="F20" s="1607"/>
      <c r="G20" s="1609"/>
      <c r="H20" s="1194"/>
      <c r="I20" s="1607"/>
      <c r="J20" s="1607"/>
      <c r="K20" s="2461">
        <v>10217.879999999999</v>
      </c>
      <c r="L20" s="1192">
        <f>+K20-M20</f>
        <v>10217.879999999999</v>
      </c>
      <c r="M20" s="2462">
        <v>0</v>
      </c>
      <c r="N20"/>
      <c r="O20"/>
      <c r="P20" s="286"/>
      <c r="Q20" s="286"/>
      <c r="R20" s="286"/>
      <c r="S20" s="286"/>
      <c r="T20" s="286"/>
      <c r="U20" s="286"/>
      <c r="V20" s="286"/>
    </row>
    <row r="21" spans="1:22" ht="20.5">
      <c r="A21" s="1607"/>
      <c r="B21" s="1189"/>
      <c r="C21" s="1199"/>
      <c r="D21" s="1200" t="s">
        <v>501</v>
      </c>
      <c r="E21" s="1178"/>
      <c r="F21" s="1607"/>
      <c r="G21" s="1609"/>
      <c r="H21" s="1194"/>
      <c r="I21" s="1607"/>
      <c r="J21" s="1607"/>
      <c r="K21" s="1191"/>
      <c r="L21" s="2144">
        <f>+K21-M21</f>
        <v>0</v>
      </c>
      <c r="M21" s="2143"/>
      <c r="N21" s="286"/>
      <c r="O21" s="286"/>
      <c r="P21" s="286"/>
      <c r="Q21" s="286"/>
      <c r="R21" s="286"/>
      <c r="S21" s="286"/>
      <c r="T21" s="286"/>
      <c r="U21" s="286"/>
      <c r="V21" s="286"/>
    </row>
    <row r="22" spans="1:22" ht="20">
      <c r="A22" s="1607"/>
      <c r="B22" s="1183">
        <f>+B14+1</f>
        <v>3</v>
      </c>
      <c r="C22" s="1199"/>
      <c r="D22" s="1184" t="s">
        <v>500</v>
      </c>
      <c r="E22" s="1178"/>
      <c r="F22" s="1607"/>
      <c r="G22" s="1609"/>
      <c r="H22" s="1194"/>
      <c r="I22" s="1607"/>
      <c r="J22" s="1607"/>
      <c r="K22" s="1201">
        <f>SUM(K17:K21)</f>
        <v>9970770.0879999995</v>
      </c>
      <c r="L22"/>
      <c r="M22" s="1201">
        <f>SUM(M17:M21)</f>
        <v>487909.66400000005</v>
      </c>
      <c r="N22" s="286"/>
      <c r="O22" s="286"/>
      <c r="P22" s="286"/>
      <c r="Q22" s="286"/>
      <c r="R22" s="286"/>
      <c r="S22" s="286"/>
      <c r="T22" s="286"/>
      <c r="U22" s="286"/>
      <c r="V22" s="286"/>
    </row>
    <row r="23" spans="1:22" ht="20.5">
      <c r="A23" s="1607"/>
      <c r="B23" s="1189"/>
      <c r="C23" s="1194"/>
      <c r="D23" s="1178"/>
      <c r="E23" s="1178"/>
      <c r="F23" s="1607"/>
      <c r="G23" s="1609"/>
      <c r="H23" s="1194"/>
      <c r="I23" s="1607"/>
      <c r="J23" s="1607"/>
      <c r="K23" s="1607"/>
      <c r="L23" s="1607"/>
      <c r="M23" s="1194"/>
      <c r="N23" s="286"/>
      <c r="O23" s="286"/>
      <c r="P23" s="286"/>
      <c r="Q23" s="286"/>
      <c r="R23" s="286"/>
      <c r="S23" s="286"/>
      <c r="T23" s="286"/>
      <c r="U23" s="286"/>
      <c r="V23" s="286"/>
    </row>
    <row r="24" spans="1:22" ht="20.5">
      <c r="A24" s="1607"/>
      <c r="B24" s="1189"/>
      <c r="C24" s="1202"/>
      <c r="D24" s="1178"/>
      <c r="E24" s="1178"/>
      <c r="F24" s="1607"/>
      <c r="G24" s="1609"/>
      <c r="H24" s="1194"/>
      <c r="I24" s="1607"/>
      <c r="J24" s="1607"/>
      <c r="K24" s="1608"/>
      <c r="L24" s="1607"/>
      <c r="M24" s="1194"/>
      <c r="N24" s="286"/>
      <c r="O24" s="286"/>
      <c r="P24" s="286"/>
      <c r="Q24" s="286"/>
      <c r="R24" s="286"/>
      <c r="S24" s="286"/>
      <c r="T24" s="286"/>
      <c r="U24" s="286"/>
      <c r="V24" s="286"/>
    </row>
    <row r="25" spans="1:22" ht="20.5">
      <c r="A25" s="1607"/>
      <c r="B25" s="1189"/>
      <c r="C25" s="1194"/>
      <c r="D25" s="1178"/>
      <c r="E25" s="1178"/>
      <c r="F25" s="1607"/>
      <c r="G25" s="1609"/>
      <c r="H25" s="1194"/>
      <c r="I25" s="1607"/>
      <c r="J25" s="1607"/>
      <c r="K25" s="1607"/>
      <c r="L25" s="1607"/>
      <c r="M25" s="1194"/>
      <c r="N25" s="286"/>
      <c r="O25" s="286"/>
      <c r="P25" s="286"/>
      <c r="Q25" s="286"/>
      <c r="R25" s="286"/>
      <c r="S25" s="286"/>
      <c r="T25" s="286"/>
      <c r="U25" s="286"/>
      <c r="V25" s="286"/>
    </row>
    <row r="26" spans="1:22" ht="20.5">
      <c r="A26" s="1607"/>
      <c r="B26" s="1189"/>
      <c r="C26" s="181" t="s">
        <v>625</v>
      </c>
      <c r="D26" s="1178"/>
      <c r="E26" s="1178"/>
      <c r="F26" s="1607"/>
      <c r="G26" s="1609"/>
      <c r="H26" s="1194"/>
      <c r="I26" s="1607"/>
      <c r="J26" s="1607"/>
      <c r="K26" s="286"/>
      <c r="L26" s="286"/>
      <c r="M26" s="286"/>
      <c r="N26" s="286"/>
      <c r="O26" s="286"/>
      <c r="P26" s="286"/>
      <c r="Q26" s="286"/>
      <c r="R26" s="286"/>
      <c r="S26" s="286"/>
      <c r="T26" s="286"/>
      <c r="U26" s="286"/>
      <c r="V26" s="286"/>
    </row>
    <row r="27" spans="1:22" ht="20.5">
      <c r="A27" s="1607"/>
      <c r="B27" s="1189"/>
      <c r="C27" s="18">
        <v>1</v>
      </c>
      <c r="D27" s="1184" t="s">
        <v>98</v>
      </c>
      <c r="E27" s="1178"/>
      <c r="F27" s="1607"/>
      <c r="G27" s="1609"/>
      <c r="H27" s="1194"/>
      <c r="I27" s="1607"/>
      <c r="J27" s="1607"/>
      <c r="K27" s="2461">
        <v>6497118.0799999991</v>
      </c>
      <c r="L27" s="1192">
        <f t="shared" ref="L27:L28" si="0">+K27-M27</f>
        <v>924208.79999999981</v>
      </c>
      <c r="M27" s="2461">
        <v>5572909.2799999993</v>
      </c>
      <c r="N27"/>
      <c r="O27"/>
      <c r="P27" s="286"/>
      <c r="Q27" s="286"/>
      <c r="R27" s="286"/>
      <c r="S27" s="286"/>
      <c r="T27" s="286"/>
      <c r="U27" s="286"/>
      <c r="V27" s="286"/>
    </row>
    <row r="28" spans="1:22" ht="20.5">
      <c r="A28" s="1607"/>
      <c r="B28" s="1189"/>
      <c r="C28" s="18">
        <v>2</v>
      </c>
      <c r="D28" s="1184" t="s">
        <v>626</v>
      </c>
      <c r="E28" s="1178"/>
      <c r="F28" s="1607"/>
      <c r="G28" s="1609"/>
      <c r="H28" s="1194"/>
      <c r="I28" s="1607"/>
      <c r="J28" s="1607"/>
      <c r="K28" s="2461">
        <v>10429805.828</v>
      </c>
      <c r="L28" s="1192">
        <f t="shared" si="0"/>
        <v>9204269.898</v>
      </c>
      <c r="M28" s="2461">
        <v>1225535.9299999997</v>
      </c>
      <c r="N28"/>
      <c r="O28"/>
      <c r="P28" s="286"/>
      <c r="Q28" s="286"/>
      <c r="R28" s="286"/>
      <c r="S28" s="286"/>
      <c r="T28" s="286"/>
      <c r="U28" s="286"/>
      <c r="V28" s="286"/>
    </row>
    <row r="29" spans="1:22" ht="20">
      <c r="A29" s="1607"/>
      <c r="B29" s="1183">
        <f>+B22+1</f>
        <v>4</v>
      </c>
      <c r="C29" s="181"/>
      <c r="D29" s="1184" t="s">
        <v>637</v>
      </c>
      <c r="E29" s="1178"/>
      <c r="F29" s="1607"/>
      <c r="G29" s="1609"/>
      <c r="H29" s="1194"/>
      <c r="I29" s="1607"/>
      <c r="J29" s="1607"/>
      <c r="K29" s="1203">
        <f>+SUM(K27:K28)</f>
        <v>16926923.908</v>
      </c>
      <c r="L29"/>
      <c r="M29" s="1203">
        <f>+SUM(M27:M28)</f>
        <v>6798445.209999999</v>
      </c>
      <c r="N29"/>
      <c r="O29"/>
      <c r="P29" s="286"/>
      <c r="Q29" s="286"/>
      <c r="R29" s="286"/>
      <c r="S29" s="286"/>
      <c r="T29" s="286"/>
      <c r="U29" s="286"/>
      <c r="V29" s="286"/>
    </row>
    <row r="30" spans="1:22" ht="20.5">
      <c r="A30" s="1607"/>
      <c r="B30" s="1189"/>
      <c r="E30" s="1178"/>
      <c r="F30" s="1607"/>
      <c r="G30" s="1609"/>
      <c r="H30" s="1194"/>
      <c r="I30" s="1607"/>
      <c r="J30" s="1607"/>
      <c r="M30" s="1175"/>
      <c r="N30"/>
      <c r="O30"/>
      <c r="P30" s="286"/>
      <c r="Q30" s="286"/>
      <c r="R30" s="286"/>
      <c r="S30" s="286"/>
      <c r="T30" s="286"/>
      <c r="U30" s="286"/>
      <c r="V30" s="286"/>
    </row>
    <row r="31" spans="1:22" ht="20.5">
      <c r="A31" s="1607"/>
      <c r="B31" s="1189"/>
      <c r="C31" s="1187"/>
      <c r="D31" s="1178"/>
      <c r="E31" s="1178"/>
      <c r="F31" s="1607"/>
      <c r="G31" s="1609"/>
      <c r="H31" s="1194"/>
      <c r="I31" s="1607"/>
      <c r="J31" s="1607"/>
      <c r="K31" s="1607"/>
      <c r="L31" s="1607"/>
      <c r="M31" s="1192"/>
      <c r="N31"/>
      <c r="O31"/>
      <c r="P31" s="286"/>
      <c r="Q31" s="286"/>
      <c r="R31" s="286"/>
      <c r="S31" s="286"/>
      <c r="T31" s="286"/>
      <c r="U31" s="286"/>
      <c r="V31" s="286"/>
    </row>
    <row r="32" spans="1:22" ht="20.25" customHeight="1">
      <c r="A32" s="1607"/>
      <c r="B32" s="1189"/>
      <c r="C32" s="181" t="s">
        <v>622</v>
      </c>
      <c r="D32" s="1178"/>
      <c r="E32" s="1178"/>
      <c r="F32" s="1607"/>
      <c r="G32" s="1178"/>
      <c r="H32" s="1178"/>
      <c r="I32" s="1607"/>
      <c r="J32" s="1607"/>
      <c r="K32" s="1178"/>
      <c r="L32" s="1178"/>
      <c r="M32" s="2461">
        <v>179297533.50999996</v>
      </c>
      <c r="N32"/>
      <c r="O32"/>
      <c r="P32" s="286"/>
      <c r="Q32" s="286"/>
      <c r="R32" s="286"/>
      <c r="S32" s="286"/>
      <c r="T32" s="354"/>
      <c r="U32" s="286"/>
      <c r="V32" s="286"/>
    </row>
    <row r="33" spans="1:22" ht="20.149999999999999" customHeight="1">
      <c r="A33" s="1607"/>
      <c r="B33" s="1189"/>
      <c r="C33" s="1202"/>
      <c r="D33" s="1607"/>
      <c r="E33" s="1607"/>
      <c r="F33" s="1607"/>
      <c r="G33" s="1607"/>
      <c r="H33" s="1178"/>
      <c r="I33" s="1607"/>
      <c r="J33" s="1607"/>
      <c r="K33" s="1607"/>
      <c r="L33" s="1178"/>
      <c r="M33" s="1204"/>
      <c r="N33"/>
      <c r="O33"/>
      <c r="P33" s="286"/>
      <c r="Q33" s="286"/>
      <c r="R33" s="286"/>
      <c r="S33" s="286"/>
      <c r="T33" s="286"/>
      <c r="U33" s="286"/>
      <c r="V33" s="286"/>
    </row>
    <row r="34" spans="1:22" ht="20.149999999999999" customHeight="1">
      <c r="A34" s="1607"/>
      <c r="B34" s="1189"/>
      <c r="C34" s="1205" t="s">
        <v>99</v>
      </c>
      <c r="D34" s="1178"/>
      <c r="E34" s="1607"/>
      <c r="F34" s="1178"/>
      <c r="G34" s="1607"/>
      <c r="H34" s="1607"/>
      <c r="I34" s="1607"/>
      <c r="J34" s="1607"/>
      <c r="K34" s="1607"/>
      <c r="L34" s="1178"/>
      <c r="M34" s="1204"/>
      <c r="N34"/>
      <c r="O34"/>
      <c r="P34" s="286"/>
      <c r="Q34" s="286"/>
      <c r="R34" s="286"/>
      <c r="S34" s="286"/>
      <c r="T34" s="286"/>
      <c r="U34" s="286"/>
      <c r="V34" s="286"/>
    </row>
    <row r="35" spans="1:22" ht="20.149999999999999" customHeight="1">
      <c r="A35" s="1607"/>
      <c r="B35" s="1189"/>
      <c r="C35" s="2076">
        <v>1</v>
      </c>
      <c r="D35" s="1206" t="s">
        <v>100</v>
      </c>
      <c r="E35" s="1207"/>
      <c r="F35" s="1178"/>
      <c r="G35" s="1607"/>
      <c r="H35" s="1607"/>
      <c r="I35" s="1607"/>
      <c r="J35" s="1607"/>
      <c r="K35" s="1607"/>
      <c r="L35" s="1178"/>
      <c r="M35" s="2462">
        <v>0</v>
      </c>
      <c r="N35"/>
      <c r="O35"/>
      <c r="P35" s="286"/>
      <c r="Q35" s="286"/>
      <c r="R35" s="286"/>
      <c r="S35" s="286"/>
      <c r="T35" s="286"/>
      <c r="U35" s="286"/>
      <c r="V35" s="286"/>
    </row>
    <row r="36" spans="1:22" ht="20.149999999999999" customHeight="1">
      <c r="A36" s="1607"/>
      <c r="B36" s="1189"/>
      <c r="C36" s="2076">
        <v>2</v>
      </c>
      <c r="D36" s="1206" t="s">
        <v>101</v>
      </c>
      <c r="E36" s="1207"/>
      <c r="F36" s="1178"/>
      <c r="G36" s="1607"/>
      <c r="H36" s="1607"/>
      <c r="I36" s="1607"/>
      <c r="J36" s="1607"/>
      <c r="K36" s="1607"/>
      <c r="L36" s="1178"/>
      <c r="M36" s="2462">
        <v>0</v>
      </c>
      <c r="N36"/>
      <c r="O36"/>
      <c r="P36" s="286"/>
      <c r="Q36" s="286"/>
      <c r="R36" s="286"/>
      <c r="S36" s="286"/>
      <c r="T36" s="286"/>
      <c r="U36" s="286"/>
      <c r="V36" s="286"/>
    </row>
    <row r="37" spans="1:22" ht="20.149999999999999" customHeight="1">
      <c r="A37" s="1607"/>
      <c r="B37" s="1189"/>
      <c r="C37" s="2076">
        <v>3</v>
      </c>
      <c r="D37" s="1206" t="s">
        <v>102</v>
      </c>
      <c r="E37" s="1207"/>
      <c r="F37" s="1178"/>
      <c r="G37" s="1607"/>
      <c r="H37" s="1607"/>
      <c r="I37" s="1607"/>
      <c r="J37" s="1607"/>
      <c r="K37" s="1607"/>
      <c r="L37" s="1178"/>
      <c r="M37" s="2462">
        <v>53809.25</v>
      </c>
      <c r="N37"/>
      <c r="O37"/>
      <c r="P37" s="286"/>
      <c r="Q37" s="286"/>
      <c r="R37" s="286"/>
      <c r="S37" s="286"/>
      <c r="T37" s="286"/>
      <c r="U37" s="286"/>
      <c r="V37" s="286"/>
    </row>
    <row r="38" spans="1:22" ht="20.149999999999999" customHeight="1">
      <c r="A38" s="1607"/>
      <c r="B38" s="1189"/>
      <c r="C38" s="2076">
        <v>4</v>
      </c>
      <c r="D38" s="1206" t="s">
        <v>103</v>
      </c>
      <c r="E38" s="1207"/>
      <c r="F38" s="1178"/>
      <c r="G38" s="1607"/>
      <c r="H38" s="1607"/>
      <c r="I38" s="1607"/>
      <c r="J38" s="1607"/>
      <c r="K38" s="1178"/>
      <c r="L38" s="1178"/>
      <c r="M38" s="2462">
        <v>0</v>
      </c>
      <c r="N38"/>
      <c r="O38"/>
      <c r="P38" s="286"/>
      <c r="Q38" s="286"/>
      <c r="R38" s="286"/>
      <c r="S38" s="286"/>
      <c r="T38" s="286"/>
      <c r="U38" s="286"/>
      <c r="V38" s="286"/>
    </row>
    <row r="39" spans="1:22" ht="20.149999999999999" customHeight="1">
      <c r="A39" s="1607"/>
      <c r="B39" s="1189"/>
      <c r="C39" s="2076">
        <v>5</v>
      </c>
      <c r="D39" s="1206" t="s">
        <v>104</v>
      </c>
      <c r="E39" s="1208"/>
      <c r="F39" s="1178"/>
      <c r="G39" s="1607"/>
      <c r="H39" s="1607"/>
      <c r="I39" s="1607"/>
      <c r="J39" s="1607"/>
      <c r="K39" s="1607"/>
      <c r="L39" s="1178"/>
      <c r="M39" s="2462">
        <v>108391489.47999996</v>
      </c>
      <c r="N39"/>
      <c r="O39"/>
      <c r="P39" s="286"/>
      <c r="Q39" s="286"/>
      <c r="R39" s="286"/>
      <c r="S39" s="286"/>
      <c r="T39" s="286"/>
      <c r="U39" s="286"/>
      <c r="V39" s="286"/>
    </row>
    <row r="40" spans="1:22" ht="20.149999999999999" customHeight="1">
      <c r="A40" s="1607"/>
      <c r="B40" s="1189"/>
      <c r="C40" s="2076">
        <v>6</v>
      </c>
      <c r="D40" s="1206" t="s">
        <v>105</v>
      </c>
      <c r="E40" s="1207"/>
      <c r="F40" s="1607"/>
      <c r="G40" s="1607"/>
      <c r="H40" s="1607"/>
      <c r="I40" s="1607"/>
      <c r="J40" s="1607"/>
      <c r="K40" s="1607"/>
      <c r="L40" s="1178"/>
      <c r="M40" s="2462">
        <v>0</v>
      </c>
      <c r="N40"/>
      <c r="O40"/>
      <c r="P40" s="286"/>
      <c r="Q40" s="286"/>
      <c r="R40" s="286"/>
      <c r="S40" s="286"/>
      <c r="T40" s="286"/>
      <c r="U40" s="286"/>
      <c r="V40" s="286"/>
    </row>
    <row r="41" spans="1:22" ht="20.149999999999999" customHeight="1">
      <c r="A41" s="1607"/>
      <c r="B41" s="1189"/>
      <c r="C41" s="2076">
        <v>7</v>
      </c>
      <c r="D41" s="1206" t="s">
        <v>106</v>
      </c>
      <c r="E41" s="1207"/>
      <c r="F41" s="1607"/>
      <c r="G41" s="1607"/>
      <c r="H41" s="1607"/>
      <c r="I41" s="1607"/>
      <c r="J41" s="1607"/>
      <c r="K41" s="1607"/>
      <c r="L41" s="1178"/>
      <c r="M41" s="2462">
        <v>623022.02</v>
      </c>
      <c r="N41"/>
      <c r="O41"/>
      <c r="P41" s="286"/>
      <c r="Q41" s="286"/>
      <c r="R41" s="286"/>
      <c r="S41" s="286"/>
      <c r="T41" s="286"/>
      <c r="U41" s="286"/>
      <c r="V41" s="286"/>
    </row>
    <row r="42" spans="1:22" ht="20.149999999999999" customHeight="1">
      <c r="A42" s="1607"/>
      <c r="B42" s="1189"/>
      <c r="C42" s="2076">
        <v>8</v>
      </c>
      <c r="D42" s="1206" t="s">
        <v>107</v>
      </c>
      <c r="E42" s="1207"/>
      <c r="F42" s="1607"/>
      <c r="G42" s="1607"/>
      <c r="H42" s="1607"/>
      <c r="I42" s="1607"/>
      <c r="J42" s="1607"/>
      <c r="K42" s="1607"/>
      <c r="L42" s="1178"/>
      <c r="M42" s="2462">
        <v>462332.91999999981</v>
      </c>
      <c r="N42"/>
      <c r="O42"/>
      <c r="P42" s="286"/>
      <c r="Q42" s="286"/>
      <c r="R42" s="286"/>
      <c r="S42" s="286"/>
      <c r="T42" s="286"/>
      <c r="U42" s="286"/>
      <c r="V42" s="286"/>
    </row>
    <row r="43" spans="1:22" ht="20.149999999999999" customHeight="1">
      <c r="A43" s="1607"/>
      <c r="B43" s="1189"/>
      <c r="C43" s="2076">
        <v>9</v>
      </c>
      <c r="D43" s="1206" t="s">
        <v>108</v>
      </c>
      <c r="E43" s="1207"/>
      <c r="F43" s="1607"/>
      <c r="G43" s="1607"/>
      <c r="H43" s="1607"/>
      <c r="I43" s="1607"/>
      <c r="J43" s="1607"/>
      <c r="K43" s="1607"/>
      <c r="L43" s="1178"/>
      <c r="M43" s="2462">
        <v>58136262.819999993</v>
      </c>
      <c r="N43"/>
      <c r="O43"/>
      <c r="P43" s="286"/>
      <c r="Q43" s="286"/>
      <c r="R43" s="286"/>
      <c r="S43" s="286"/>
      <c r="T43" s="286"/>
      <c r="U43" s="286"/>
      <c r="V43" s="286"/>
    </row>
    <row r="44" spans="1:22" ht="20.149999999999999" customHeight="1">
      <c r="A44" s="1607"/>
      <c r="B44" s="1189"/>
      <c r="C44" s="2076">
        <v>10</v>
      </c>
      <c r="D44" s="1209" t="s">
        <v>109</v>
      </c>
      <c r="E44" s="1207"/>
      <c r="F44" s="1607"/>
      <c r="G44" s="1607"/>
      <c r="H44" s="1607"/>
      <c r="I44" s="1607"/>
      <c r="J44" s="1607"/>
      <c r="K44" s="1607"/>
      <c r="L44" s="1178"/>
      <c r="M44" s="2462">
        <v>0</v>
      </c>
      <c r="N44"/>
      <c r="O44"/>
      <c r="P44" s="286"/>
      <c r="Q44" s="286"/>
      <c r="R44" s="286"/>
      <c r="S44" s="286"/>
      <c r="T44" s="286"/>
      <c r="U44" s="286"/>
      <c r="V44" s="286"/>
    </row>
    <row r="45" spans="1:22" ht="20.149999999999999" customHeight="1">
      <c r="A45" s="1607"/>
      <c r="B45" s="1189"/>
      <c r="C45" s="2076">
        <v>11</v>
      </c>
      <c r="D45" s="1210" t="s">
        <v>318</v>
      </c>
      <c r="E45" s="1207"/>
      <c r="F45" s="1607"/>
      <c r="G45" s="1607"/>
      <c r="H45" s="1607"/>
      <c r="I45" s="1607"/>
      <c r="J45" s="1607"/>
      <c r="K45" s="1607"/>
      <c r="L45" s="1178"/>
      <c r="M45" s="2462">
        <v>0</v>
      </c>
      <c r="N45"/>
      <c r="O45"/>
      <c r="P45" s="286"/>
      <c r="Q45" s="286"/>
      <c r="R45" s="286"/>
      <c r="S45" s="286"/>
      <c r="T45" s="286"/>
      <c r="U45" s="286"/>
      <c r="V45" s="286"/>
    </row>
    <row r="46" spans="1:22" ht="20.149999999999999" customHeight="1">
      <c r="A46" s="1607"/>
      <c r="B46" s="1747">
        <f>+B29+1</f>
        <v>5</v>
      </c>
      <c r="C46" s="1212"/>
      <c r="D46" s="1212"/>
      <c r="E46" s="1212"/>
      <c r="F46" s="1212"/>
      <c r="G46" s="1212"/>
      <c r="H46" s="1212"/>
      <c r="I46" s="181" t="s">
        <v>667</v>
      </c>
      <c r="J46" s="1213"/>
      <c r="K46" s="1178"/>
      <c r="L46" s="1178"/>
      <c r="M46" s="1214">
        <f>+M32-SUM(M35:M45)</f>
        <v>11630617.020000011</v>
      </c>
      <c r="N46"/>
      <c r="O46"/>
      <c r="P46" s="286"/>
      <c r="Q46" s="286"/>
      <c r="R46" s="286"/>
      <c r="S46" s="286"/>
      <c r="T46" s="286"/>
      <c r="U46" s="286"/>
      <c r="V46" s="286"/>
    </row>
    <row r="47" spans="1:22" ht="20.149999999999999" customHeight="1">
      <c r="A47" s="1607"/>
      <c r="B47" s="1747"/>
      <c r="C47" s="1212"/>
      <c r="D47" s="1212"/>
      <c r="E47" s="1212"/>
      <c r="F47" s="1212"/>
      <c r="G47" s="1212"/>
      <c r="H47" s="1212"/>
      <c r="I47" s="1212"/>
      <c r="J47" s="1212"/>
      <c r="K47" s="1607"/>
      <c r="L47" s="1215"/>
      <c r="M47" s="1194"/>
      <c r="N47"/>
      <c r="O47"/>
      <c r="P47" s="286"/>
      <c r="Q47" s="286"/>
      <c r="R47" s="286"/>
      <c r="S47" s="286"/>
      <c r="T47" s="286"/>
      <c r="U47" s="286"/>
      <c r="V47" s="286"/>
    </row>
    <row r="48" spans="1:22" ht="39.75" customHeight="1">
      <c r="A48" s="1607"/>
      <c r="B48" s="1747">
        <f>+B46+1</f>
        <v>6</v>
      </c>
      <c r="C48" s="2355" t="s">
        <v>618</v>
      </c>
      <c r="D48" s="2355"/>
      <c r="E48" s="2355"/>
      <c r="F48" s="2355"/>
      <c r="G48" s="2355"/>
      <c r="H48" s="2355"/>
      <c r="I48" s="2355"/>
      <c r="J48" s="2355"/>
      <c r="K48" s="2461">
        <v>290400</v>
      </c>
      <c r="L48" s="1192"/>
      <c r="M48" s="2461">
        <v>290400</v>
      </c>
      <c r="N48"/>
      <c r="O48"/>
      <c r="P48" s="286"/>
      <c r="Q48" s="286"/>
      <c r="R48" s="286"/>
      <c r="S48" s="286"/>
      <c r="T48" s="286"/>
      <c r="U48" s="286"/>
      <c r="V48" s="286"/>
    </row>
    <row r="49" spans="1:22" ht="20.149999999999999" customHeight="1">
      <c r="A49" s="1607"/>
      <c r="B49" s="1747"/>
      <c r="C49" s="180"/>
      <c r="D49" s="1216"/>
      <c r="E49" s="1216"/>
      <c r="F49" s="1217"/>
      <c r="G49" s="1218"/>
      <c r="H49" s="1217"/>
      <c r="I49" s="1217"/>
      <c r="J49" s="1217"/>
      <c r="K49" s="1219"/>
      <c r="L49" s="1192"/>
      <c r="M49" s="1219"/>
      <c r="N49"/>
      <c r="O49"/>
      <c r="P49" s="286"/>
      <c r="Q49" s="286"/>
      <c r="R49" s="286"/>
      <c r="S49" s="286"/>
      <c r="T49" s="286"/>
      <c r="U49" s="286"/>
      <c r="V49" s="286"/>
    </row>
    <row r="50" spans="1:22" ht="20">
      <c r="A50" s="1607"/>
      <c r="B50" s="1747">
        <f>+B48+1</f>
        <v>7</v>
      </c>
      <c r="C50" s="2355" t="s">
        <v>619</v>
      </c>
      <c r="D50" s="2355"/>
      <c r="E50" s="2355"/>
      <c r="F50" s="2355"/>
      <c r="G50" s="2355"/>
      <c r="H50" s="2355"/>
      <c r="I50" s="2355"/>
      <c r="J50" s="2355"/>
      <c r="K50" s="2462">
        <v>0</v>
      </c>
      <c r="L50" s="2144"/>
      <c r="M50" s="2462">
        <v>0</v>
      </c>
      <c r="N50"/>
      <c r="O50"/>
      <c r="P50" s="286"/>
      <c r="Q50" s="286"/>
      <c r="R50" s="286"/>
      <c r="S50" s="286"/>
      <c r="T50" s="286"/>
      <c r="U50" s="286"/>
      <c r="V50" s="286"/>
    </row>
    <row r="51" spans="1:22" ht="20.149999999999999" customHeight="1">
      <c r="A51" s="1607"/>
      <c r="B51" s="1747"/>
      <c r="C51" s="181"/>
      <c r="D51" s="1213"/>
      <c r="E51" s="1213"/>
      <c r="F51" s="1212"/>
      <c r="G51" s="1220"/>
      <c r="H51" s="1212"/>
      <c r="I51" s="1212"/>
      <c r="J51" s="1212"/>
      <c r="K51" s="1219"/>
      <c r="L51" s="1192"/>
      <c r="M51" s="1219"/>
      <c r="N51"/>
      <c r="O51"/>
      <c r="P51" s="286"/>
      <c r="Q51" s="286"/>
      <c r="R51" s="286"/>
      <c r="S51" s="286"/>
      <c r="T51" s="286"/>
      <c r="U51" s="286"/>
      <c r="V51" s="286"/>
    </row>
    <row r="52" spans="1:22" ht="20.25" customHeight="1" thickBot="1">
      <c r="A52" s="1607"/>
      <c r="B52" s="1747">
        <f>+B50+1</f>
        <v>8</v>
      </c>
      <c r="C52" s="181" t="str">
        <f>"Total Revenue Credits - Sum lines "&amp;B12&amp;" through "&amp;B50&amp;""</f>
        <v>Total Revenue Credits - Sum lines 1 through 7</v>
      </c>
      <c r="D52" s="1213"/>
      <c r="E52" s="1213"/>
      <c r="F52" s="1212"/>
      <c r="G52" s="1213"/>
      <c r="H52" s="1213"/>
      <c r="I52" s="1212"/>
      <c r="J52" s="1212"/>
      <c r="K52" s="1607"/>
      <c r="L52" s="1607"/>
      <c r="M52" s="1221">
        <f>+M12+M14+M22+M29+M46+M48+M50</f>
        <v>19207371.894000009</v>
      </c>
      <c r="N52"/>
      <c r="O52"/>
      <c r="P52" s="286"/>
      <c r="Q52" s="286"/>
      <c r="R52" s="286"/>
      <c r="S52" s="286"/>
      <c r="T52" s="354"/>
      <c r="U52" s="286"/>
      <c r="V52" s="286"/>
    </row>
    <row r="53" spans="1:22" ht="20.149999999999999" customHeight="1" thickTop="1">
      <c r="A53" s="1607"/>
      <c r="B53" s="1607"/>
      <c r="C53" s="1607"/>
      <c r="D53" s="495"/>
      <c r="E53" s="1607"/>
      <c r="F53" s="1607"/>
      <c r="G53" s="1607"/>
      <c r="H53" s="1607"/>
      <c r="I53" s="1607"/>
      <c r="J53" s="1607"/>
      <c r="K53" s="1607"/>
      <c r="L53" s="1215"/>
      <c r="M53" s="286"/>
      <c r="N53" s="286"/>
      <c r="O53" s="286"/>
      <c r="P53" s="286"/>
      <c r="Q53" s="286"/>
      <c r="R53" s="286"/>
      <c r="S53" s="286"/>
      <c r="T53" s="286"/>
      <c r="U53" s="286"/>
      <c r="V53" s="286"/>
    </row>
    <row r="54" spans="1:22" ht="20">
      <c r="A54" s="1607"/>
      <c r="B54" s="1222"/>
      <c r="C54" s="1222"/>
      <c r="D54" s="1178"/>
      <c r="E54" s="1178"/>
      <c r="F54" s="1223"/>
      <c r="G54" s="1223"/>
      <c r="H54" s="1223"/>
      <c r="I54" s="1223"/>
      <c r="J54" s="1223"/>
      <c r="K54" s="1223"/>
      <c r="L54" s="1607"/>
      <c r="M54" s="286"/>
      <c r="N54" s="33"/>
      <c r="O54" s="33"/>
      <c r="P54" s="33"/>
      <c r="Q54" s="33"/>
      <c r="R54" s="286"/>
      <c r="S54" s="286"/>
      <c r="T54" s="286"/>
      <c r="U54" s="286"/>
      <c r="V54" s="286"/>
    </row>
    <row r="55" spans="1:22" ht="13">
      <c r="A55" s="1607"/>
      <c r="B55" s="1607"/>
      <c r="C55" s="1178"/>
      <c r="D55" s="1178"/>
      <c r="E55" s="1178"/>
      <c r="F55" s="1223"/>
      <c r="G55" s="1223"/>
      <c r="H55" s="1223"/>
      <c r="I55" s="1223"/>
      <c r="J55" s="1223"/>
      <c r="K55" s="1223"/>
      <c r="L55" s="1607"/>
      <c r="M55" s="286"/>
      <c r="N55" s="33"/>
      <c r="O55" s="33"/>
      <c r="P55" s="33"/>
      <c r="Q55" s="33"/>
      <c r="R55" s="286"/>
      <c r="S55" s="286"/>
      <c r="T55" s="286"/>
      <c r="U55" s="286"/>
      <c r="V55" s="286"/>
    </row>
    <row r="56" spans="1:22">
      <c r="A56" s="1607"/>
      <c r="B56" s="1607"/>
      <c r="C56" s="1194" t="s">
        <v>620</v>
      </c>
      <c r="E56" s="1178"/>
      <c r="F56" s="1223"/>
      <c r="G56" s="1223"/>
      <c r="H56" s="1223"/>
      <c r="I56" s="1223"/>
      <c r="J56" s="1223"/>
      <c r="K56" s="1223"/>
      <c r="L56" s="1607"/>
      <c r="M56" s="286"/>
      <c r="N56" s="33"/>
      <c r="O56" s="33"/>
      <c r="P56" s="33"/>
      <c r="Q56" s="33"/>
      <c r="R56" s="286"/>
      <c r="S56" s="286"/>
      <c r="T56" s="286"/>
      <c r="U56" s="286"/>
      <c r="V56" s="286"/>
    </row>
    <row r="57" spans="1:22" ht="12.75" customHeight="1">
      <c r="A57" s="286"/>
      <c r="B57" s="286"/>
      <c r="C57" s="286"/>
      <c r="D57" s="286"/>
      <c r="E57" s="286"/>
      <c r="F57" s="286"/>
      <c r="G57" s="286"/>
      <c r="H57" s="286"/>
      <c r="I57" s="286"/>
      <c r="J57" s="286"/>
      <c r="K57" s="286"/>
      <c r="L57" s="286"/>
      <c r="M57" s="286"/>
      <c r="N57" s="286"/>
      <c r="O57" s="286"/>
      <c r="P57" s="286"/>
      <c r="Q57" s="286"/>
      <c r="R57" s="286"/>
      <c r="S57" s="286"/>
      <c r="T57" s="286"/>
      <c r="U57" s="286"/>
      <c r="V57" s="286"/>
    </row>
    <row r="58" spans="1:22" ht="12.75" customHeight="1">
      <c r="A58" s="286"/>
      <c r="B58" s="286"/>
      <c r="C58" s="286"/>
      <c r="D58" s="286"/>
      <c r="E58" s="286"/>
      <c r="F58" s="286"/>
      <c r="G58" s="286"/>
      <c r="H58" s="286"/>
      <c r="I58" s="286"/>
      <c r="J58" s="286"/>
      <c r="K58" s="286"/>
      <c r="L58" s="286"/>
      <c r="M58" s="286"/>
      <c r="N58" s="286"/>
      <c r="O58" s="286"/>
      <c r="P58" s="286"/>
      <c r="Q58" s="286"/>
      <c r="R58" s="286"/>
      <c r="S58" s="286"/>
      <c r="T58" s="286"/>
      <c r="U58" s="286"/>
      <c r="V58" s="286"/>
    </row>
    <row r="59" spans="1:22" ht="12.75" customHeight="1">
      <c r="A59" s="286"/>
      <c r="B59" s="286"/>
      <c r="C59" s="286"/>
      <c r="D59" s="286"/>
      <c r="E59" s="286"/>
      <c r="F59" s="286"/>
      <c r="G59" s="286"/>
      <c r="H59" s="286"/>
      <c r="I59" s="286"/>
      <c r="J59" s="286"/>
      <c r="K59" s="286"/>
      <c r="L59" s="286"/>
      <c r="M59" s="286"/>
      <c r="N59" s="286"/>
      <c r="O59" s="286"/>
      <c r="P59" s="286"/>
      <c r="Q59" s="286"/>
      <c r="R59" s="286"/>
      <c r="S59" s="286"/>
      <c r="T59" s="286"/>
      <c r="U59" s="286"/>
      <c r="V59" s="286"/>
    </row>
    <row r="60" spans="1:22" ht="12.75" customHeight="1">
      <c r="A60" s="286"/>
      <c r="B60" s="286"/>
      <c r="C60" s="286"/>
      <c r="D60" s="286"/>
      <c r="E60" s="286"/>
      <c r="F60" s="286"/>
      <c r="G60" s="286"/>
      <c r="H60" s="286"/>
      <c r="I60" s="286"/>
      <c r="J60" s="286"/>
      <c r="K60" s="286"/>
      <c r="L60" s="286"/>
      <c r="M60" s="286"/>
      <c r="N60" s="286"/>
      <c r="O60" s="286"/>
      <c r="P60" s="286"/>
      <c r="Q60" s="286"/>
      <c r="R60" s="286"/>
      <c r="S60" s="286"/>
      <c r="T60" s="286"/>
      <c r="U60" s="286"/>
      <c r="V60" s="286"/>
    </row>
    <row r="61" spans="1:22" ht="12.75" customHeight="1">
      <c r="A61" s="286"/>
      <c r="B61" s="286"/>
      <c r="C61" s="286"/>
      <c r="D61" s="286"/>
      <c r="E61" s="286"/>
      <c r="F61" s="286"/>
      <c r="G61" s="286"/>
      <c r="H61" s="286"/>
      <c r="I61" s="286"/>
      <c r="J61" s="286"/>
      <c r="K61" s="286"/>
      <c r="L61" s="286"/>
      <c r="M61" s="286"/>
      <c r="N61" s="286"/>
      <c r="O61" s="286"/>
      <c r="P61" s="286"/>
      <c r="Q61" s="286"/>
      <c r="R61" s="286"/>
      <c r="S61" s="286"/>
      <c r="T61" s="286"/>
      <c r="U61" s="286"/>
      <c r="V61" s="286"/>
    </row>
    <row r="62" spans="1:22" ht="12.75" customHeight="1">
      <c r="A62" s="286"/>
      <c r="B62" s="286"/>
      <c r="C62" s="286"/>
      <c r="D62" s="286"/>
      <c r="E62" s="286"/>
      <c r="F62" s="286"/>
      <c r="G62" s="286"/>
      <c r="H62" s="286"/>
      <c r="I62" s="286"/>
      <c r="J62" s="286"/>
      <c r="K62" s="286"/>
      <c r="L62" s="286"/>
      <c r="M62" s="286"/>
      <c r="N62" s="286"/>
      <c r="O62" s="286"/>
      <c r="P62" s="286"/>
      <c r="Q62" s="286"/>
      <c r="R62" s="286"/>
      <c r="S62" s="286"/>
      <c r="T62" s="286"/>
      <c r="U62" s="286"/>
      <c r="V62" s="286"/>
    </row>
    <row r="63" spans="1:22" ht="12.75" customHeight="1">
      <c r="A63" s="286"/>
      <c r="B63" s="286"/>
      <c r="C63" s="286"/>
      <c r="D63" s="286"/>
      <c r="E63" s="286"/>
      <c r="F63" s="286"/>
      <c r="G63" s="286"/>
      <c r="H63" s="286"/>
      <c r="I63" s="286"/>
      <c r="J63" s="286"/>
      <c r="K63" s="286"/>
      <c r="L63" s="286"/>
      <c r="M63" s="286"/>
      <c r="N63" s="286"/>
      <c r="O63" s="286"/>
      <c r="P63" s="286"/>
      <c r="Q63" s="286"/>
      <c r="R63" s="286"/>
      <c r="S63" s="286"/>
      <c r="T63" s="286"/>
      <c r="U63" s="286"/>
      <c r="V63" s="286"/>
    </row>
    <row r="64" spans="1:22" ht="12.75" customHeight="1">
      <c r="A64" s="286"/>
      <c r="B64" s="286"/>
      <c r="C64" s="286"/>
      <c r="D64" s="286"/>
      <c r="E64" s="286"/>
      <c r="F64" s="286"/>
      <c r="G64" s="286"/>
      <c r="H64" s="286"/>
      <c r="I64" s="286"/>
      <c r="J64" s="286"/>
      <c r="K64" s="286"/>
      <c r="L64" s="286"/>
      <c r="M64" s="286"/>
      <c r="N64" s="286"/>
      <c r="O64" s="286"/>
      <c r="P64" s="286"/>
      <c r="Q64" s="286"/>
      <c r="R64" s="286"/>
      <c r="S64" s="286"/>
      <c r="T64" s="286"/>
      <c r="U64" s="286"/>
      <c r="V64" s="286"/>
    </row>
    <row r="65" spans="1:22" ht="12.75" customHeight="1">
      <c r="A65" s="286"/>
      <c r="B65" s="286"/>
      <c r="C65" s="286"/>
      <c r="D65" s="286"/>
      <c r="E65" s="286"/>
      <c r="F65" s="286"/>
      <c r="G65" s="286"/>
      <c r="H65" s="286"/>
      <c r="I65" s="286"/>
      <c r="J65" s="286"/>
      <c r="K65" s="286"/>
      <c r="L65" s="286"/>
      <c r="M65" s="286"/>
      <c r="N65" s="286"/>
      <c r="O65" s="286"/>
      <c r="P65" s="286"/>
      <c r="Q65" s="286"/>
      <c r="R65" s="286"/>
      <c r="S65" s="286"/>
      <c r="T65" s="286"/>
      <c r="U65" s="286"/>
      <c r="V65" s="286"/>
    </row>
    <row r="66" spans="1:22" ht="12.5">
      <c r="A66" s="286"/>
      <c r="B66" s="286"/>
      <c r="C66" s="286"/>
      <c r="D66" s="286"/>
      <c r="E66" s="286"/>
      <c r="F66" s="286"/>
      <c r="G66" s="286"/>
      <c r="H66" s="286"/>
      <c r="I66" s="286"/>
      <c r="J66" s="286"/>
      <c r="K66" s="286"/>
      <c r="L66" s="286"/>
      <c r="M66" s="286"/>
      <c r="N66" s="286"/>
      <c r="O66" s="286"/>
      <c r="P66" s="286"/>
      <c r="Q66" s="286"/>
      <c r="R66" s="286"/>
      <c r="S66" s="286"/>
      <c r="T66" s="286"/>
      <c r="U66" s="286"/>
      <c r="V66" s="286"/>
    </row>
    <row r="67" spans="1:22" ht="12.5">
      <c r="A67" s="286"/>
      <c r="B67" s="286"/>
      <c r="C67" s="286"/>
      <c r="D67" s="286"/>
      <c r="E67" s="286"/>
      <c r="F67" s="286"/>
      <c r="G67" s="286"/>
      <c r="H67" s="286"/>
      <c r="I67" s="286"/>
      <c r="J67" s="286"/>
      <c r="K67" s="286"/>
      <c r="L67" s="286"/>
      <c r="M67" s="286"/>
      <c r="N67" s="286"/>
      <c r="O67" s="286"/>
      <c r="P67" s="286"/>
      <c r="Q67" s="286"/>
      <c r="R67" s="286"/>
      <c r="S67" s="286"/>
      <c r="T67" s="286"/>
      <c r="U67" s="286"/>
      <c r="V67" s="286"/>
    </row>
    <row r="68" spans="1:22" ht="12.5">
      <c r="A68" s="286"/>
      <c r="B68" s="286"/>
      <c r="C68" s="286"/>
      <c r="D68" s="286"/>
      <c r="E68" s="286"/>
      <c r="F68" s="286"/>
      <c r="G68" s="286"/>
      <c r="H68" s="286"/>
      <c r="I68" s="286"/>
      <c r="J68" s="286"/>
      <c r="K68" s="286"/>
      <c r="L68" s="286"/>
      <c r="M68" s="286"/>
      <c r="N68" s="286"/>
      <c r="O68" s="286"/>
      <c r="P68" s="286"/>
      <c r="Q68" s="286"/>
      <c r="R68" s="286"/>
      <c r="S68" s="286"/>
      <c r="T68" s="286"/>
      <c r="U68" s="286"/>
      <c r="V68" s="286"/>
    </row>
    <row r="69" spans="1:22" ht="12.5">
      <c r="A69" s="286"/>
      <c r="B69" s="286"/>
      <c r="C69" s="286"/>
      <c r="D69" s="286"/>
      <c r="E69" s="286"/>
      <c r="F69" s="286"/>
      <c r="G69" s="286"/>
      <c r="H69" s="286"/>
      <c r="I69" s="286"/>
      <c r="J69" s="286"/>
      <c r="K69" s="286"/>
      <c r="L69" s="286"/>
      <c r="M69" s="286"/>
      <c r="N69" s="286"/>
      <c r="O69" s="286"/>
      <c r="P69" s="286"/>
      <c r="Q69" s="286"/>
      <c r="R69" s="286"/>
      <c r="S69" s="286"/>
      <c r="T69" s="286"/>
      <c r="U69" s="286"/>
      <c r="V69" s="286"/>
    </row>
    <row r="70" spans="1:22" ht="12.5">
      <c r="A70" s="286"/>
      <c r="B70" s="286"/>
      <c r="C70" s="286"/>
      <c r="D70" s="286"/>
      <c r="E70" s="286"/>
      <c r="F70" s="286"/>
      <c r="G70" s="286"/>
      <c r="H70" s="286"/>
      <c r="I70" s="286"/>
      <c r="J70" s="286"/>
      <c r="K70" s="286"/>
      <c r="L70" s="286"/>
      <c r="M70" s="286"/>
      <c r="N70" s="286"/>
      <c r="O70" s="286"/>
      <c r="P70" s="286"/>
      <c r="Q70" s="286"/>
      <c r="R70" s="286"/>
      <c r="S70" s="286"/>
      <c r="T70" s="286"/>
      <c r="U70" s="286"/>
      <c r="V70" s="286"/>
    </row>
    <row r="71" spans="1:22" ht="12.5">
      <c r="A71" s="286"/>
      <c r="B71" s="286"/>
      <c r="C71" s="286"/>
      <c r="D71" s="286"/>
      <c r="E71" s="286"/>
      <c r="F71" s="286"/>
      <c r="G71" s="286"/>
      <c r="H71" s="286"/>
      <c r="I71" s="286"/>
      <c r="J71" s="286"/>
      <c r="K71" s="286"/>
      <c r="L71" s="286"/>
      <c r="M71" s="286"/>
      <c r="N71" s="286"/>
      <c r="O71" s="286"/>
      <c r="P71" s="286"/>
      <c r="Q71" s="286"/>
      <c r="R71" s="286"/>
      <c r="S71" s="286"/>
      <c r="T71" s="286"/>
      <c r="U71" s="286"/>
      <c r="V71" s="286"/>
    </row>
    <row r="72" spans="1:22" ht="12.5">
      <c r="A72" s="286"/>
      <c r="B72" s="286"/>
      <c r="C72" s="286"/>
      <c r="D72" s="286"/>
      <c r="E72" s="286"/>
      <c r="F72" s="286"/>
      <c r="G72" s="286"/>
      <c r="H72" s="286"/>
      <c r="I72" s="286"/>
      <c r="J72" s="286"/>
      <c r="K72" s="286"/>
      <c r="L72" s="286"/>
      <c r="M72" s="286"/>
      <c r="N72" s="286"/>
      <c r="O72" s="286"/>
      <c r="P72" s="286"/>
      <c r="Q72" s="286"/>
      <c r="R72" s="286"/>
      <c r="S72" s="286"/>
      <c r="T72" s="286"/>
      <c r="U72" s="286"/>
      <c r="V72" s="286"/>
    </row>
    <row r="73" spans="1:22" ht="12.5">
      <c r="A73" s="286"/>
      <c r="B73" s="286"/>
      <c r="C73" s="286"/>
      <c r="D73" s="286"/>
      <c r="E73" s="286"/>
      <c r="F73" s="286"/>
      <c r="G73" s="286"/>
      <c r="H73" s="286"/>
      <c r="I73" s="286"/>
      <c r="J73" s="286"/>
      <c r="K73" s="286"/>
      <c r="L73" s="286"/>
      <c r="M73" s="286"/>
      <c r="N73" s="286"/>
      <c r="O73" s="286"/>
      <c r="P73" s="286"/>
      <c r="Q73" s="286"/>
      <c r="R73" s="286"/>
      <c r="S73" s="286"/>
      <c r="T73" s="286"/>
      <c r="U73" s="286"/>
      <c r="V73" s="286"/>
    </row>
    <row r="74" spans="1:22" ht="12.5">
      <c r="A74" s="286"/>
      <c r="B74" s="286"/>
      <c r="C74" s="286"/>
      <c r="D74" s="286"/>
      <c r="E74" s="286"/>
      <c r="F74" s="286"/>
      <c r="G74" s="286"/>
      <c r="H74" s="286"/>
      <c r="I74" s="286"/>
      <c r="J74" s="286"/>
      <c r="K74" s="286"/>
      <c r="L74" s="286"/>
      <c r="M74" s="286"/>
      <c r="N74" s="286"/>
      <c r="O74" s="286"/>
      <c r="P74" s="286"/>
      <c r="Q74" s="286"/>
      <c r="R74" s="286"/>
      <c r="S74" s="286"/>
      <c r="T74" s="286"/>
      <c r="U74" s="286"/>
      <c r="V74" s="286"/>
    </row>
    <row r="75" spans="1:22" ht="12.5">
      <c r="A75" s="286"/>
      <c r="B75" s="286"/>
      <c r="C75" s="286"/>
      <c r="D75" s="286"/>
      <c r="E75" s="286"/>
      <c r="F75" s="286"/>
      <c r="G75" s="286"/>
      <c r="H75" s="286"/>
      <c r="I75" s="286"/>
      <c r="J75" s="286"/>
      <c r="K75" s="286"/>
      <c r="L75" s="286"/>
      <c r="M75" s="286"/>
      <c r="N75" s="286"/>
      <c r="O75" s="286"/>
      <c r="P75" s="286"/>
      <c r="Q75" s="286"/>
      <c r="R75" s="286"/>
      <c r="S75" s="286"/>
      <c r="T75" s="286"/>
      <c r="U75" s="286"/>
      <c r="V75" s="286"/>
    </row>
    <row r="76" spans="1:22" ht="12.5">
      <c r="A76" s="286"/>
      <c r="B76" s="286"/>
      <c r="C76" s="286"/>
      <c r="D76" s="286"/>
      <c r="E76" s="286"/>
      <c r="F76" s="286"/>
      <c r="G76" s="286"/>
      <c r="H76" s="286"/>
      <c r="I76" s="286"/>
      <c r="J76" s="286"/>
      <c r="K76" s="286"/>
      <c r="L76" s="286"/>
      <c r="M76" s="286"/>
      <c r="N76" s="286"/>
      <c r="O76" s="286"/>
      <c r="P76" s="286"/>
      <c r="Q76" s="286"/>
      <c r="R76" s="286"/>
      <c r="S76" s="286"/>
      <c r="T76" s="286"/>
      <c r="U76" s="286"/>
      <c r="V76" s="286"/>
    </row>
    <row r="77" spans="1:22" ht="12.5">
      <c r="A77" s="286"/>
      <c r="B77" s="286"/>
      <c r="C77" s="286"/>
      <c r="D77" s="286"/>
      <c r="E77" s="286"/>
      <c r="F77" s="286"/>
      <c r="G77" s="286"/>
      <c r="H77" s="286"/>
      <c r="I77" s="286"/>
      <c r="J77" s="286"/>
      <c r="K77" s="286"/>
      <c r="L77" s="286"/>
      <c r="M77" s="286"/>
      <c r="N77" s="286"/>
      <c r="O77" s="286"/>
      <c r="P77" s="286"/>
      <c r="Q77" s="286"/>
      <c r="R77" s="286"/>
      <c r="S77" s="286"/>
      <c r="T77" s="286"/>
      <c r="U77" s="286"/>
      <c r="V77" s="286"/>
    </row>
    <row r="78" spans="1:22" ht="12.5">
      <c r="A78" s="286"/>
      <c r="B78" s="286"/>
      <c r="C78" s="286"/>
      <c r="D78" s="286"/>
      <c r="E78" s="286"/>
      <c r="F78" s="286"/>
      <c r="G78" s="286"/>
      <c r="H78" s="286"/>
      <c r="I78" s="286"/>
      <c r="J78" s="286"/>
      <c r="K78" s="286"/>
      <c r="L78" s="286"/>
      <c r="M78" s="286"/>
      <c r="N78" s="286"/>
      <c r="O78" s="286"/>
      <c r="P78" s="286"/>
      <c r="Q78" s="286"/>
      <c r="R78" s="286"/>
      <c r="S78" s="286"/>
      <c r="T78" s="286"/>
      <c r="U78" s="286"/>
      <c r="V78" s="286"/>
    </row>
    <row r="79" spans="1:22" ht="12.5">
      <c r="A79" s="286"/>
      <c r="B79" s="286"/>
      <c r="C79" s="286"/>
      <c r="D79" s="286"/>
      <c r="E79" s="286"/>
      <c r="F79" s="286"/>
      <c r="G79" s="286"/>
      <c r="H79" s="286"/>
      <c r="I79" s="286"/>
      <c r="J79" s="286"/>
      <c r="K79" s="286"/>
      <c r="L79" s="286"/>
      <c r="M79" s="286"/>
      <c r="N79" s="286"/>
      <c r="O79" s="286"/>
      <c r="P79" s="286"/>
      <c r="Q79" s="286"/>
      <c r="R79" s="286"/>
      <c r="S79" s="286"/>
      <c r="T79" s="286"/>
      <c r="U79" s="286"/>
      <c r="V79" s="286"/>
    </row>
    <row r="80" spans="1:22" ht="12.5">
      <c r="A80" s="286"/>
      <c r="B80" s="286"/>
      <c r="C80" s="286"/>
      <c r="D80" s="286"/>
      <c r="E80" s="286"/>
      <c r="F80" s="286"/>
      <c r="G80" s="286"/>
      <c r="H80" s="286"/>
      <c r="I80" s="286"/>
      <c r="J80" s="286"/>
      <c r="K80" s="286"/>
      <c r="L80" s="286"/>
      <c r="M80" s="286"/>
      <c r="N80" s="286"/>
      <c r="O80" s="286"/>
      <c r="P80" s="286"/>
      <c r="Q80" s="286"/>
      <c r="R80" s="286"/>
      <c r="S80" s="286"/>
      <c r="T80" s="286"/>
      <c r="U80" s="286"/>
      <c r="V80" s="286"/>
    </row>
    <row r="81" spans="1:22" ht="12.5">
      <c r="A81" s="286"/>
      <c r="B81" s="286"/>
      <c r="C81" s="286"/>
      <c r="D81" s="286"/>
      <c r="E81" s="286"/>
      <c r="F81" s="286"/>
      <c r="G81" s="286"/>
      <c r="H81" s="286"/>
      <c r="I81" s="286"/>
      <c r="J81" s="286"/>
      <c r="K81" s="286"/>
      <c r="L81" s="286"/>
      <c r="M81" s="286"/>
      <c r="N81" s="286"/>
      <c r="O81" s="286"/>
      <c r="P81" s="286"/>
      <c r="Q81" s="286"/>
      <c r="R81" s="286"/>
      <c r="S81" s="286"/>
      <c r="T81" s="286"/>
      <c r="U81" s="286"/>
      <c r="V81" s="286"/>
    </row>
    <row r="82" spans="1:22" ht="12.5">
      <c r="A82" s="286"/>
      <c r="B82" s="286"/>
      <c r="C82" s="286"/>
      <c r="D82" s="286"/>
      <c r="E82" s="286"/>
      <c r="F82" s="286"/>
      <c r="G82" s="286"/>
      <c r="H82" s="286"/>
      <c r="I82" s="286"/>
      <c r="J82" s="286"/>
      <c r="K82" s="286"/>
      <c r="L82" s="286"/>
      <c r="M82" s="286"/>
      <c r="N82" s="286"/>
      <c r="O82" s="286"/>
      <c r="P82" s="286"/>
      <c r="Q82" s="286"/>
      <c r="R82" s="286"/>
      <c r="S82" s="286"/>
      <c r="T82" s="286"/>
      <c r="U82" s="286"/>
      <c r="V82" s="286"/>
    </row>
    <row r="83" spans="1:22" ht="12.5">
      <c r="A83" s="286"/>
      <c r="B83" s="286"/>
      <c r="C83" s="286"/>
      <c r="D83" s="286"/>
      <c r="E83" s="286"/>
      <c r="F83" s="286"/>
      <c r="G83" s="286"/>
      <c r="H83" s="286"/>
      <c r="I83" s="286"/>
      <c r="J83" s="286"/>
      <c r="K83" s="286"/>
      <c r="L83" s="286"/>
      <c r="M83" s="286"/>
      <c r="N83" s="286"/>
      <c r="O83" s="286"/>
      <c r="P83" s="286"/>
      <c r="Q83" s="286"/>
      <c r="R83" s="286"/>
      <c r="S83" s="286"/>
      <c r="T83" s="286"/>
      <c r="U83" s="286"/>
      <c r="V83" s="286"/>
    </row>
    <row r="84" spans="1:22" ht="12.5">
      <c r="A84" s="286"/>
      <c r="B84" s="286"/>
      <c r="C84" s="286"/>
      <c r="D84" s="286"/>
      <c r="E84" s="286"/>
      <c r="F84" s="286"/>
      <c r="G84" s="286"/>
      <c r="H84" s="286"/>
      <c r="I84" s="286"/>
      <c r="J84" s="286"/>
      <c r="K84" s="286"/>
      <c r="L84" s="286"/>
      <c r="M84" s="286"/>
      <c r="N84" s="286"/>
      <c r="O84" s="286"/>
      <c r="P84" s="286"/>
      <c r="Q84" s="286"/>
      <c r="R84" s="286"/>
      <c r="S84" s="286"/>
      <c r="T84" s="286"/>
      <c r="U84" s="286"/>
      <c r="V84" s="286"/>
    </row>
    <row r="85" spans="1:22" ht="12.5">
      <c r="A85" s="286"/>
      <c r="B85" s="286"/>
      <c r="C85" s="286"/>
      <c r="D85" s="286"/>
      <c r="E85" s="286"/>
      <c r="F85" s="286"/>
      <c r="G85" s="286"/>
      <c r="H85" s="286"/>
      <c r="I85" s="286"/>
      <c r="J85" s="286"/>
      <c r="K85" s="286"/>
      <c r="L85" s="286"/>
      <c r="M85" s="286"/>
      <c r="N85" s="286"/>
      <c r="O85" s="286"/>
      <c r="P85" s="286"/>
      <c r="Q85" s="286"/>
      <c r="R85" s="286"/>
      <c r="S85" s="286"/>
      <c r="T85" s="286"/>
      <c r="U85" s="286"/>
      <c r="V85" s="286"/>
    </row>
    <row r="86" spans="1:22" ht="12.75" customHeight="1">
      <c r="A86" s="286"/>
      <c r="B86" s="286"/>
      <c r="C86" s="286"/>
      <c r="D86" s="286"/>
      <c r="E86" s="286"/>
      <c r="F86" s="286"/>
      <c r="G86" s="286"/>
      <c r="H86" s="286"/>
      <c r="I86" s="286"/>
      <c r="J86" s="286"/>
      <c r="K86" s="286"/>
      <c r="L86" s="286"/>
      <c r="M86" s="286"/>
      <c r="N86" s="286"/>
      <c r="O86" s="286"/>
      <c r="P86" s="286"/>
      <c r="Q86" s="286"/>
      <c r="R86" s="286"/>
      <c r="S86" s="286"/>
      <c r="T86" s="286"/>
      <c r="U86" s="286"/>
      <c r="V86" s="286"/>
    </row>
    <row r="87" spans="1:22" ht="12.75" customHeight="1">
      <c r="A87" s="286"/>
      <c r="B87" s="286"/>
      <c r="C87" s="286"/>
      <c r="D87" s="286"/>
      <c r="E87" s="286"/>
      <c r="F87" s="286"/>
      <c r="G87" s="286"/>
      <c r="H87" s="286"/>
      <c r="I87" s="286"/>
      <c r="J87" s="286"/>
      <c r="K87" s="286"/>
      <c r="L87" s="286"/>
      <c r="M87" s="286"/>
      <c r="N87" s="286"/>
      <c r="O87" s="286"/>
      <c r="P87" s="286"/>
      <c r="Q87" s="286"/>
      <c r="R87" s="286"/>
      <c r="S87" s="286"/>
      <c r="T87" s="286"/>
      <c r="U87" s="286"/>
      <c r="V87" s="286"/>
    </row>
    <row r="88" spans="1:22" ht="12.75" customHeight="1">
      <c r="A88" s="286"/>
      <c r="B88" s="286"/>
      <c r="C88" s="286"/>
      <c r="D88" s="286"/>
      <c r="E88" s="286"/>
      <c r="F88" s="286"/>
      <c r="G88" s="286"/>
      <c r="H88" s="286"/>
      <c r="I88" s="286"/>
      <c r="J88" s="286"/>
      <c r="K88" s="286"/>
      <c r="L88" s="286"/>
      <c r="M88" s="286"/>
      <c r="N88" s="286"/>
      <c r="O88" s="286"/>
      <c r="P88" s="286"/>
      <c r="Q88" s="286"/>
      <c r="R88" s="286"/>
      <c r="S88" s="286"/>
      <c r="T88" s="286"/>
      <c r="U88" s="286"/>
      <c r="V88" s="286"/>
    </row>
    <row r="89" spans="1:22" ht="12.5">
      <c r="A89" s="286"/>
      <c r="B89" s="286"/>
      <c r="C89" s="286"/>
      <c r="D89" s="286"/>
      <c r="E89" s="286"/>
      <c r="F89" s="286"/>
      <c r="G89" s="286"/>
      <c r="H89" s="286"/>
      <c r="I89" s="286"/>
      <c r="J89" s="286"/>
      <c r="K89" s="286"/>
      <c r="L89" s="286"/>
      <c r="M89" s="286"/>
      <c r="N89" s="286"/>
      <c r="O89" s="286"/>
      <c r="P89" s="286"/>
      <c r="Q89" s="286"/>
      <c r="R89" s="286"/>
      <c r="S89" s="286"/>
      <c r="T89" s="286"/>
      <c r="U89" s="286"/>
      <c r="V89" s="286"/>
    </row>
    <row r="90" spans="1:22" ht="12.5">
      <c r="A90" s="286"/>
      <c r="B90" s="286"/>
      <c r="C90" s="286"/>
      <c r="D90" s="286"/>
      <c r="E90" s="286"/>
      <c r="F90" s="286"/>
      <c r="G90" s="286"/>
      <c r="H90" s="286"/>
      <c r="I90" s="286"/>
      <c r="J90" s="286"/>
      <c r="K90" s="286"/>
      <c r="L90" s="286"/>
      <c r="M90" s="286"/>
      <c r="N90" s="286"/>
      <c r="O90" s="286"/>
      <c r="P90" s="286"/>
      <c r="Q90" s="286"/>
      <c r="R90" s="286"/>
      <c r="S90" s="286"/>
      <c r="T90" s="286"/>
      <c r="U90" s="286"/>
      <c r="V90" s="286"/>
    </row>
    <row r="91" spans="1:22" ht="12.5">
      <c r="A91" s="286"/>
      <c r="B91" s="286"/>
      <c r="C91" s="286"/>
      <c r="D91" s="286"/>
      <c r="E91" s="286"/>
      <c r="F91" s="286"/>
      <c r="G91" s="286"/>
      <c r="H91" s="286"/>
      <c r="I91" s="286"/>
      <c r="J91" s="286"/>
      <c r="K91" s="286"/>
      <c r="L91" s="286"/>
      <c r="M91" s="286"/>
      <c r="N91" s="286"/>
      <c r="O91" s="286"/>
      <c r="P91" s="286"/>
      <c r="Q91" s="286"/>
      <c r="R91" s="286"/>
      <c r="S91" s="286"/>
      <c r="T91" s="286"/>
      <c r="U91" s="286"/>
      <c r="V91" s="286"/>
    </row>
    <row r="92" spans="1:22" ht="12.5">
      <c r="A92" s="286"/>
      <c r="B92" s="286"/>
      <c r="C92" s="286"/>
      <c r="D92" s="286"/>
      <c r="E92" s="286"/>
      <c r="F92" s="286"/>
      <c r="G92" s="286"/>
      <c r="H92" s="286"/>
      <c r="I92" s="286"/>
      <c r="J92" s="286"/>
      <c r="K92" s="286"/>
      <c r="L92" s="286"/>
      <c r="M92" s="286"/>
      <c r="N92" s="286"/>
      <c r="O92" s="286"/>
      <c r="P92" s="286"/>
      <c r="Q92" s="286"/>
      <c r="R92" s="286"/>
      <c r="S92" s="286"/>
      <c r="T92" s="286"/>
      <c r="U92" s="286"/>
      <c r="V92" s="286"/>
    </row>
    <row r="93" spans="1:22" ht="12.5">
      <c r="A93" s="286"/>
      <c r="B93" s="286"/>
      <c r="C93" s="286"/>
      <c r="D93" s="286"/>
      <c r="E93" s="286"/>
      <c r="F93" s="286"/>
      <c r="G93" s="286"/>
      <c r="H93" s="286"/>
      <c r="I93" s="286"/>
      <c r="J93" s="286"/>
      <c r="K93" s="286"/>
      <c r="L93" s="286"/>
      <c r="M93" s="286"/>
      <c r="N93" s="286"/>
      <c r="O93" s="286"/>
      <c r="P93" s="286"/>
      <c r="Q93" s="286"/>
      <c r="R93" s="286"/>
      <c r="S93" s="286"/>
      <c r="T93" s="286"/>
      <c r="U93" s="286"/>
      <c r="V93" s="286"/>
    </row>
    <row r="94" spans="1:22" ht="12.5">
      <c r="A94" s="286"/>
      <c r="B94" s="286"/>
      <c r="C94" s="286"/>
      <c r="D94" s="286"/>
      <c r="E94" s="286"/>
      <c r="F94" s="286"/>
      <c r="G94" s="286"/>
      <c r="H94" s="286"/>
      <c r="I94" s="286"/>
      <c r="J94" s="286"/>
      <c r="K94" s="286"/>
      <c r="L94" s="286"/>
      <c r="M94" s="286"/>
      <c r="N94" s="286"/>
      <c r="O94" s="286"/>
      <c r="P94" s="286"/>
      <c r="Q94" s="286"/>
      <c r="R94" s="286"/>
      <c r="S94" s="286"/>
      <c r="T94" s="286"/>
      <c r="U94" s="286"/>
      <c r="V94" s="286"/>
    </row>
    <row r="95" spans="1:22" ht="12.5">
      <c r="A95" s="286"/>
      <c r="B95" s="286"/>
      <c r="C95" s="286"/>
      <c r="D95" s="286"/>
      <c r="E95" s="286"/>
      <c r="F95" s="286"/>
      <c r="G95" s="286"/>
      <c r="H95" s="286"/>
      <c r="I95" s="286"/>
      <c r="J95" s="286"/>
      <c r="K95" s="286"/>
      <c r="L95" s="286"/>
      <c r="M95" s="286"/>
      <c r="N95" s="286"/>
      <c r="O95" s="286"/>
      <c r="P95" s="286"/>
      <c r="Q95" s="286"/>
      <c r="R95" s="286"/>
      <c r="S95" s="286"/>
      <c r="T95" s="286"/>
      <c r="U95" s="286"/>
      <c r="V95" s="286"/>
    </row>
    <row r="96" spans="1:22" ht="12.5">
      <c r="A96" s="286"/>
      <c r="B96" s="286"/>
      <c r="C96" s="286"/>
      <c r="D96" s="286"/>
      <c r="E96" s="286"/>
      <c r="F96" s="286"/>
      <c r="G96" s="286"/>
      <c r="H96" s="286"/>
      <c r="I96" s="286"/>
      <c r="J96" s="286"/>
      <c r="K96" s="286"/>
      <c r="L96" s="286"/>
      <c r="M96" s="286"/>
      <c r="N96" s="286"/>
      <c r="O96" s="286"/>
      <c r="P96" s="286"/>
      <c r="Q96" s="286"/>
      <c r="R96" s="286"/>
      <c r="S96" s="286"/>
      <c r="T96" s="286"/>
      <c r="U96" s="286"/>
      <c r="V96" s="286"/>
    </row>
    <row r="97" spans="1:22" ht="12.5">
      <c r="A97" s="286"/>
      <c r="B97" s="286"/>
      <c r="C97" s="286"/>
      <c r="D97" s="286"/>
      <c r="E97" s="286"/>
      <c r="F97" s="286"/>
      <c r="G97" s="286"/>
      <c r="H97" s="286"/>
      <c r="I97" s="286"/>
      <c r="J97" s="286"/>
      <c r="K97" s="286"/>
      <c r="L97" s="286"/>
      <c r="M97" s="286"/>
      <c r="N97" s="286"/>
      <c r="O97" s="286"/>
      <c r="P97" s="286"/>
      <c r="Q97" s="286"/>
      <c r="R97" s="286"/>
      <c r="S97" s="286"/>
      <c r="T97" s="286"/>
      <c r="U97" s="286"/>
      <c r="V97" s="286"/>
    </row>
    <row r="98" spans="1:22" ht="12.5">
      <c r="A98" s="286"/>
      <c r="B98" s="286"/>
      <c r="C98" s="286"/>
      <c r="D98" s="286"/>
      <c r="E98" s="286"/>
      <c r="F98" s="286"/>
      <c r="G98" s="286"/>
      <c r="H98" s="286"/>
      <c r="I98" s="286"/>
      <c r="J98" s="286"/>
      <c r="K98" s="286"/>
      <c r="L98" s="286"/>
      <c r="M98" s="286"/>
      <c r="N98" s="286"/>
      <c r="O98" s="286"/>
      <c r="P98" s="286"/>
      <c r="Q98" s="286"/>
      <c r="R98" s="286"/>
      <c r="S98" s="286"/>
      <c r="T98" s="286"/>
      <c r="U98" s="286"/>
      <c r="V98" s="286"/>
    </row>
    <row r="99" spans="1:22" ht="12.5">
      <c r="A99" s="286"/>
      <c r="B99" s="286"/>
      <c r="C99" s="286"/>
      <c r="D99" s="286"/>
      <c r="E99" s="286"/>
      <c r="F99" s="286"/>
      <c r="G99" s="286"/>
      <c r="H99" s="286"/>
      <c r="I99" s="286"/>
      <c r="J99" s="286"/>
      <c r="K99" s="286"/>
      <c r="L99" s="286"/>
      <c r="M99" s="286"/>
      <c r="N99" s="286"/>
      <c r="O99" s="286"/>
      <c r="P99" s="286"/>
      <c r="Q99" s="286"/>
      <c r="R99" s="286"/>
      <c r="S99" s="286"/>
      <c r="T99" s="286"/>
      <c r="U99" s="286"/>
      <c r="V99" s="286"/>
    </row>
  </sheetData>
  <mergeCells count="6">
    <mergeCell ref="C50:J50"/>
    <mergeCell ref="A3:N3"/>
    <mergeCell ref="A4:N4"/>
    <mergeCell ref="A5:N5"/>
    <mergeCell ref="A6:N6"/>
    <mergeCell ref="C48:J48"/>
  </mergeCells>
  <printOptions horizontalCentered="1"/>
  <pageMargins left="0.25" right="0.25" top="1" bottom="0.25" header="0.67" footer="0.5"/>
  <pageSetup scale="50" orientation="portrait" horizontalDpi="1200" verticalDpi="1200" r:id="rId1"/>
  <headerFooter alignWithMargins="0">
    <oddHeader xml:space="preserve">&amp;R&amp;12AEP - SPP Formula Rate
TCOS - WS H
Page: &amp;P of &amp;N&amp;10
</oddHeader>
    <oddFooter xml:space="preserve">&amp;C &amp;R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26"/>
  <sheetViews>
    <sheetView zoomScale="81" zoomScaleNormal="81" zoomScaleSheetLayoutView="100" zoomScalePageLayoutView="81" workbookViewId="0">
      <selection activeCell="U38" sqref="U38"/>
    </sheetView>
  </sheetViews>
  <sheetFormatPr defaultColWidth="9.1796875" defaultRowHeight="12.5"/>
  <cols>
    <col min="1" max="1" width="3.54296875" style="286" customWidth="1"/>
    <col min="2" max="2" width="7.453125" style="286" customWidth="1"/>
    <col min="3" max="3" width="2.453125" style="286" customWidth="1"/>
    <col min="4" max="4" width="29.453125" style="286" customWidth="1"/>
    <col min="5" max="5" width="26.453125" style="286" customWidth="1"/>
    <col min="6" max="6" width="24.1796875" style="286" bestFit="1" customWidth="1"/>
    <col min="7" max="7" width="22.81640625" style="286" customWidth="1"/>
    <col min="8" max="8" width="7.453125" style="286" customWidth="1"/>
    <col min="9" max="16384" width="9.1796875" style="286"/>
  </cols>
  <sheetData>
    <row r="1" spans="1:11" ht="15.5">
      <c r="A1" s="206"/>
    </row>
    <row r="2" spans="1:11" ht="19.5" customHeight="1">
      <c r="A2" s="2284" t="str">
        <f>+'SWEPCO TCOS'!F4</f>
        <v xml:space="preserve">AEP West SPP Member Operating Companies </v>
      </c>
      <c r="B2" s="2284"/>
      <c r="C2" s="2284"/>
      <c r="D2" s="2284"/>
      <c r="E2" s="2284"/>
      <c r="F2" s="2284"/>
      <c r="G2" s="2284"/>
      <c r="H2" s="2284"/>
      <c r="I2" s="18"/>
      <c r="J2" s="18"/>
      <c r="K2" s="18"/>
    </row>
    <row r="3" spans="1:11" ht="15.5">
      <c r="A3" s="2402" t="str">
        <f>+'SWEPCO WS A-1 - Plant'!A3</f>
        <v xml:space="preserve">Actual / Projected 2024 Rate Year Cost of Service Formula Rate </v>
      </c>
      <c r="B3" s="2402"/>
      <c r="C3" s="2402"/>
      <c r="D3" s="2402"/>
      <c r="E3" s="2402"/>
      <c r="F3" s="2402"/>
      <c r="G3" s="2402"/>
      <c r="H3" s="2402"/>
      <c r="I3" s="1283"/>
      <c r="J3" s="1283"/>
      <c r="K3" s="1283"/>
    </row>
    <row r="4" spans="1:11" ht="15.5">
      <c r="A4" s="2403" t="s">
        <v>112</v>
      </c>
      <c r="B4" s="2402"/>
      <c r="C4" s="2402"/>
      <c r="D4" s="2402"/>
      <c r="E4" s="2402"/>
      <c r="F4" s="2402"/>
      <c r="G4" s="2402"/>
      <c r="H4" s="2402"/>
      <c r="I4" s="1283"/>
      <c r="J4" s="1283"/>
      <c r="K4" s="1283"/>
    </row>
    <row r="5" spans="1:11" ht="15.5">
      <c r="A5" s="2340" t="str">
        <f>+'SWEPCO TCOS'!F8</f>
        <v>SOUTHWESTERN ELECTRIC POWER COMPANY</v>
      </c>
      <c r="B5" s="2340"/>
      <c r="C5" s="2340"/>
      <c r="D5" s="2340"/>
      <c r="E5" s="2340"/>
      <c r="F5" s="2340"/>
      <c r="G5" s="2340"/>
      <c r="H5" s="2340"/>
      <c r="I5" s="1224"/>
      <c r="J5" s="1224"/>
      <c r="K5" s="1224"/>
    </row>
    <row r="6" spans="1:11" ht="15.5">
      <c r="G6" s="835"/>
      <c r="H6" s="18"/>
      <c r="I6" s="18"/>
    </row>
    <row r="7" spans="1:11" ht="54" customHeight="1">
      <c r="A7" s="172"/>
      <c r="B7" s="2428" t="s">
        <v>668</v>
      </c>
      <c r="C7" s="2428"/>
      <c r="D7" s="2428"/>
      <c r="E7" s="2428"/>
      <c r="F7" s="2428"/>
      <c r="G7" s="2428"/>
      <c r="H7" s="172"/>
      <c r="I7" s="18"/>
    </row>
    <row r="8" spans="1:11" ht="18">
      <c r="A8" s="88"/>
      <c r="B8" s="88"/>
      <c r="C8" s="88"/>
      <c r="D8" s="88"/>
      <c r="E8" s="88"/>
      <c r="F8" s="88"/>
      <c r="G8" s="88"/>
      <c r="H8" s="88"/>
      <c r="I8" s="18"/>
    </row>
    <row r="9" spans="1:11" ht="18">
      <c r="A9" s="88"/>
      <c r="B9" s="88"/>
      <c r="C9" s="88"/>
      <c r="D9" s="88"/>
      <c r="E9" s="88"/>
      <c r="F9" s="88"/>
      <c r="G9" s="88"/>
      <c r="H9" s="88"/>
      <c r="I9" s="18"/>
    </row>
    <row r="10" spans="1:11" ht="18">
      <c r="A10" s="88"/>
      <c r="B10" s="41" t="s">
        <v>308</v>
      </c>
      <c r="D10" s="2357" t="s">
        <v>301</v>
      </c>
      <c r="E10" s="2357"/>
      <c r="G10" s="33" t="s">
        <v>302</v>
      </c>
      <c r="H10" s="88"/>
      <c r="I10" s="18"/>
    </row>
    <row r="11" spans="1:11" ht="18">
      <c r="A11" s="88"/>
      <c r="B11" s="41" t="s">
        <v>246</v>
      </c>
      <c r="D11" s="2356" t="s">
        <v>306</v>
      </c>
      <c r="E11" s="2356"/>
      <c r="G11" s="41">
        <f>+'SWEPCO TCOS'!N2</f>
        <v>2024</v>
      </c>
      <c r="H11" s="88"/>
      <c r="I11" s="18"/>
    </row>
    <row r="12" spans="1:11" ht="15.5">
      <c r="B12" s="296">
        <v>1</v>
      </c>
      <c r="C12" s="288"/>
      <c r="H12" s="18"/>
      <c r="I12" s="18"/>
    </row>
    <row r="13" spans="1:11" ht="15.5">
      <c r="B13" s="296">
        <f t="shared" ref="B13:B20" si="0">B12+1</f>
        <v>2</v>
      </c>
      <c r="D13" s="1610"/>
      <c r="E13" s="1226"/>
      <c r="G13" s="1143"/>
      <c r="H13" s="18"/>
      <c r="I13" s="18"/>
    </row>
    <row r="14" spans="1:11" ht="15.5">
      <c r="B14" s="296">
        <f t="shared" si="0"/>
        <v>3</v>
      </c>
      <c r="D14" s="1610"/>
      <c r="E14" s="1226"/>
      <c r="G14" s="1143"/>
      <c r="H14" s="18"/>
      <c r="I14" s="18"/>
    </row>
    <row r="15" spans="1:11" ht="15.5">
      <c r="B15" s="296">
        <f t="shared" si="0"/>
        <v>4</v>
      </c>
      <c r="D15" s="1610"/>
      <c r="E15" s="1226"/>
      <c r="G15" s="1143"/>
      <c r="H15" s="18"/>
      <c r="I15" s="18"/>
    </row>
    <row r="16" spans="1:11" ht="15.5">
      <c r="B16" s="296">
        <f t="shared" si="0"/>
        <v>5</v>
      </c>
      <c r="D16" s="1610"/>
      <c r="E16" s="1226"/>
      <c r="G16" s="1143"/>
      <c r="H16" s="18"/>
      <c r="I16" s="18"/>
    </row>
    <row r="17" spans="2:9" ht="15.5">
      <c r="B17" s="296">
        <f t="shared" si="0"/>
        <v>6</v>
      </c>
      <c r="D17" s="1610"/>
      <c r="E17" s="1226"/>
      <c r="G17" s="1143"/>
      <c r="H17" s="18"/>
      <c r="I17" s="18"/>
    </row>
    <row r="18" spans="2:9" ht="15.5">
      <c r="B18" s="296">
        <f t="shared" si="0"/>
        <v>7</v>
      </c>
      <c r="D18" s="1610"/>
      <c r="E18" s="1226"/>
      <c r="G18" s="1143"/>
      <c r="H18" s="18"/>
      <c r="I18" s="18"/>
    </row>
    <row r="19" spans="2:9" ht="15.5">
      <c r="B19" s="296">
        <f t="shared" si="0"/>
        <v>8</v>
      </c>
      <c r="D19" s="1610"/>
      <c r="E19" s="1226"/>
      <c r="G19" s="1143"/>
      <c r="H19" s="18"/>
      <c r="I19" s="18"/>
    </row>
    <row r="20" spans="2:9" ht="15.5">
      <c r="B20" s="296">
        <f t="shared" si="0"/>
        <v>9</v>
      </c>
      <c r="D20" s="1610"/>
      <c r="E20" s="1226"/>
      <c r="G20" s="1143"/>
      <c r="H20" s="18"/>
      <c r="I20" s="18"/>
    </row>
    <row r="21" spans="2:9" ht="15.5">
      <c r="B21" s="296">
        <f>+B20+1</f>
        <v>10</v>
      </c>
      <c r="D21" s="1611" t="s">
        <v>258</v>
      </c>
      <c r="F21" s="286" t="str">
        <f>"( sum of lines "&amp;B13&amp;"  through "&amp;B20&amp;" )"</f>
        <v>( sum of lines 2  through 9 )</v>
      </c>
      <c r="G21" s="1612">
        <f>SUM(G13:G20)</f>
        <v>0</v>
      </c>
      <c r="H21" s="18"/>
      <c r="I21" s="18"/>
    </row>
    <row r="22" spans="2:9" ht="15.5">
      <c r="B22" s="296"/>
      <c r="G22" s="1613"/>
      <c r="H22" s="18"/>
      <c r="I22" s="18"/>
    </row>
    <row r="23" spans="2:9" ht="15" customHeight="1"/>
    <row r="26" spans="2:9" ht="23.25" customHeight="1"/>
  </sheetData>
  <mergeCells count="7">
    <mergeCell ref="D11:E11"/>
    <mergeCell ref="A2:H2"/>
    <mergeCell ref="A3:H3"/>
    <mergeCell ref="A4:H4"/>
    <mergeCell ref="A5:H5"/>
    <mergeCell ref="B7:G7"/>
    <mergeCell ref="D10:E10"/>
  </mergeCells>
  <printOptions horizontalCentered="1"/>
  <pageMargins left="0.75" right="0.75" top="1" bottom="0.25" header="0.65" footer="0.5"/>
  <pageSetup scale="73" orientation="portrait" horizontalDpi="1200" verticalDpi="1200" r:id="rId1"/>
  <headerFooter alignWithMargins="0">
    <oddHeader xml:space="preserve">&amp;R&amp;12AEP - SPP Formula Rate
TCOS - WS I
Page: &amp;P of &amp;N&amp;16
</oddHeader>
    <oddFooter xml:space="preserve">&amp;C &amp;R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AQ144"/>
  <sheetViews>
    <sheetView topLeftCell="A68" zoomScale="60" zoomScaleNormal="60" zoomScaleSheetLayoutView="75" workbookViewId="0">
      <selection activeCell="M85" sqref="M85"/>
    </sheetView>
  </sheetViews>
  <sheetFormatPr defaultColWidth="9.1796875" defaultRowHeight="15.5"/>
  <cols>
    <col min="1" max="1" width="10.453125" style="30" customWidth="1"/>
    <col min="2" max="2" width="12.54296875" style="21" customWidth="1"/>
    <col min="3" max="3" width="59.453125" style="14" customWidth="1"/>
    <col min="4" max="4" width="17.81640625" style="14" customWidth="1"/>
    <col min="5" max="5" width="24.453125" style="14" customWidth="1"/>
    <col min="6" max="6" width="17.453125" style="14" customWidth="1"/>
    <col min="7" max="7" width="64.81640625" style="14" customWidth="1"/>
    <col min="8" max="8" width="13.81640625" style="14" customWidth="1"/>
    <col min="9" max="10" width="12.54296875" style="14" customWidth="1"/>
    <col min="11" max="11" width="13.453125" style="14" customWidth="1"/>
    <col min="12" max="12" width="9.1796875" style="14"/>
    <col min="13" max="13" width="13.453125" style="2246" bestFit="1" customWidth="1"/>
    <col min="14" max="14" width="9.1796875" style="14"/>
    <col min="15" max="15" width="12.54296875" style="2246" bestFit="1" customWidth="1"/>
    <col min="16" max="19" width="9.1796875" style="14"/>
    <col min="20" max="20" width="9.453125" bestFit="1" customWidth="1"/>
    <col min="21" max="21" width="8.81640625" customWidth="1"/>
    <col min="22" max="22" width="9.453125" bestFit="1" customWidth="1"/>
    <col min="23" max="23" width="8.81640625" customWidth="1"/>
    <col min="24" max="24" width="10.81640625" bestFit="1" customWidth="1"/>
    <col min="25" max="25" width="8.81640625" customWidth="1"/>
    <col min="26" max="26" width="10.81640625" bestFit="1" customWidth="1"/>
    <col min="27" max="27" width="8.81640625" customWidth="1"/>
    <col min="28" max="28" width="10.54296875" bestFit="1" customWidth="1"/>
    <col min="29" max="29" width="8.81640625" customWidth="1"/>
    <col min="30" max="30" width="9.453125" bestFit="1" customWidth="1"/>
    <col min="31" max="31" width="8.81640625" customWidth="1"/>
    <col min="32" max="32" width="11.54296875" bestFit="1" customWidth="1"/>
    <col min="33" max="33" width="8.81640625" customWidth="1"/>
    <col min="34" max="34" width="11.54296875" bestFit="1" customWidth="1"/>
    <col min="35" max="35" width="8.81640625" customWidth="1"/>
    <col min="36" max="36" width="11" bestFit="1" customWidth="1"/>
    <col min="37" max="37" width="8.81640625" customWidth="1"/>
    <col min="38" max="38" width="9.453125" bestFit="1" customWidth="1"/>
    <col min="39" max="39" width="8.81640625" customWidth="1"/>
    <col min="40" max="40" width="11.54296875" bestFit="1" customWidth="1"/>
    <col min="41" max="43" width="8.81640625" customWidth="1"/>
    <col min="44" max="16384" width="9.1796875" style="14"/>
  </cols>
  <sheetData>
    <row r="1" spans="1:11">
      <c r="A1" s="210"/>
    </row>
    <row r="2" spans="1:11" ht="23.25" customHeight="1">
      <c r="A2" s="2429" t="str">
        <f>+'SWEPCO WS H Rev Credits'!A3:N3</f>
        <v xml:space="preserve">AEP West SPP Member Operating Companies </v>
      </c>
      <c r="B2" s="2429"/>
      <c r="C2" s="2429"/>
      <c r="D2" s="2429"/>
      <c r="E2" s="2429"/>
      <c r="F2" s="2429"/>
      <c r="G2" s="2429"/>
      <c r="H2" s="47"/>
    </row>
    <row r="3" spans="1:11" ht="18.75" customHeight="1">
      <c r="A3" s="2429" t="str">
        <f>+'SWEPCO WS A-1 - Plant'!A3</f>
        <v xml:space="preserve">Actual / Projected 2024 Rate Year Cost of Service Formula Rate </v>
      </c>
      <c r="B3" s="2429"/>
      <c r="C3" s="2429"/>
      <c r="D3" s="2429"/>
      <c r="E3" s="2429"/>
      <c r="F3" s="2429"/>
      <c r="G3" s="2429"/>
      <c r="H3" s="1376"/>
      <c r="I3" s="1376"/>
      <c r="J3" s="1376"/>
      <c r="K3" s="1376"/>
    </row>
    <row r="4" spans="1:11" ht="19.5" customHeight="1">
      <c r="A4" s="2430" t="s">
        <v>113</v>
      </c>
      <c r="B4" s="2429"/>
      <c r="C4" s="2429"/>
      <c r="D4" s="2429"/>
      <c r="E4" s="2429"/>
      <c r="F4" s="2429"/>
      <c r="G4" s="2429"/>
    </row>
    <row r="5" spans="1:11" ht="18" customHeight="1">
      <c r="A5" s="2340" t="str">
        <f>+'SWEPCO TCOS'!F8</f>
        <v>SOUTHWESTERN ELECTRIC POWER COMPANY</v>
      </c>
      <c r="B5" s="2340"/>
      <c r="C5" s="2340"/>
      <c r="D5" s="2340"/>
      <c r="E5" s="2340"/>
      <c r="F5" s="2340"/>
      <c r="G5" s="2340"/>
    </row>
    <row r="6" spans="1:11" ht="12.75" customHeight="1">
      <c r="A6" s="2284"/>
      <c r="B6" s="2284"/>
      <c r="C6" s="2284"/>
      <c r="D6" s="2284"/>
      <c r="E6" s="2284"/>
      <c r="F6" s="2284"/>
      <c r="G6" s="23"/>
    </row>
    <row r="7" spans="1:11" ht="18">
      <c r="A7" s="2291"/>
      <c r="B7" s="2291"/>
      <c r="C7" s="2291"/>
      <c r="D7" s="2291"/>
      <c r="E7" s="2291"/>
      <c r="F7" s="2291"/>
      <c r="G7" s="2291"/>
    </row>
    <row r="8" spans="1:11" ht="18">
      <c r="A8" s="88"/>
      <c r="B8" s="88"/>
      <c r="C8" s="88"/>
      <c r="D8" s="88"/>
      <c r="E8" s="88"/>
      <c r="F8" s="88"/>
      <c r="G8" s="88"/>
    </row>
    <row r="9" spans="1:11">
      <c r="B9" s="25" t="s">
        <v>301</v>
      </c>
      <c r="C9" s="25" t="s">
        <v>302</v>
      </c>
      <c r="D9" s="25" t="s">
        <v>303</v>
      </c>
      <c r="E9" s="25" t="s">
        <v>304</v>
      </c>
      <c r="F9" s="25" t="s">
        <v>229</v>
      </c>
      <c r="G9" s="25" t="s">
        <v>230</v>
      </c>
    </row>
    <row r="10" spans="1:11">
      <c r="B10" s="71"/>
      <c r="C10" s="23"/>
      <c r="D10" s="42"/>
      <c r="E10" s="43"/>
      <c r="F10" s="44" t="s">
        <v>232</v>
      </c>
      <c r="G10" s="25"/>
    </row>
    <row r="11" spans="1:11">
      <c r="A11" s="29" t="s">
        <v>308</v>
      </c>
      <c r="B11" s="29" t="s">
        <v>150</v>
      </c>
      <c r="C11" s="72"/>
      <c r="D11" s="29">
        <f>+'SWEPCO TCOS'!N2</f>
        <v>2024</v>
      </c>
      <c r="E11" s="44" t="s">
        <v>232</v>
      </c>
      <c r="F11" s="29" t="s">
        <v>255</v>
      </c>
      <c r="G11" s="25" t="s">
        <v>423</v>
      </c>
    </row>
    <row r="12" spans="1:11">
      <c r="A12" s="29" t="s">
        <v>246</v>
      </c>
      <c r="B12" s="29" t="s">
        <v>151</v>
      </c>
      <c r="C12" s="29" t="s">
        <v>306</v>
      </c>
      <c r="D12" s="29" t="s">
        <v>215</v>
      </c>
      <c r="E12" s="29" t="s">
        <v>234</v>
      </c>
      <c r="F12" s="29" t="s">
        <v>216</v>
      </c>
      <c r="G12" s="183" t="s">
        <v>424</v>
      </c>
    </row>
    <row r="13" spans="1:11">
      <c r="B13" s="29"/>
      <c r="C13" s="29"/>
      <c r="D13" s="29"/>
      <c r="E13" s="29"/>
      <c r="F13" s="29"/>
      <c r="G13" s="29"/>
    </row>
    <row r="14" spans="1:11">
      <c r="B14" s="30"/>
      <c r="C14" s="34" t="s">
        <v>351</v>
      </c>
      <c r="D14" s="23"/>
      <c r="E14" s="23"/>
      <c r="F14" s="23"/>
      <c r="G14" s="23"/>
    </row>
    <row r="15" spans="1:11">
      <c r="A15" s="30">
        <v>1</v>
      </c>
      <c r="B15" s="2192">
        <v>9280000</v>
      </c>
      <c r="C15" s="1614" t="s">
        <v>1619</v>
      </c>
      <c r="D15" s="2466">
        <v>61.679999999999978</v>
      </c>
      <c r="E15" s="2146">
        <f>D15-F15</f>
        <v>38.639999999999958</v>
      </c>
      <c r="F15" s="2466">
        <v>23.040000000000017</v>
      </c>
      <c r="G15" s="1615" t="s">
        <v>1865</v>
      </c>
      <c r="I15" s="57"/>
      <c r="J15" s="57"/>
    </row>
    <row r="16" spans="1:11">
      <c r="A16" s="30">
        <v>2</v>
      </c>
      <c r="B16" s="2192">
        <v>9280000</v>
      </c>
      <c r="C16" s="1614" t="s">
        <v>1619</v>
      </c>
      <c r="D16" s="2466">
        <v>12433.420000000002</v>
      </c>
      <c r="E16" s="2146">
        <f t="shared" ref="E16:E22" si="0">D16-F16</f>
        <v>12433.420000000002</v>
      </c>
      <c r="F16" s="2466">
        <v>0</v>
      </c>
      <c r="G16" s="1615" t="s">
        <v>1639</v>
      </c>
      <c r="I16" s="57"/>
      <c r="J16" s="57"/>
    </row>
    <row r="17" spans="1:15">
      <c r="A17" s="30">
        <v>3</v>
      </c>
      <c r="B17" s="2192">
        <v>9280000</v>
      </c>
      <c r="C17" s="1614" t="s">
        <v>1619</v>
      </c>
      <c r="D17" s="2466">
        <v>8619.16</v>
      </c>
      <c r="E17" s="2146">
        <f t="shared" si="0"/>
        <v>8619.16</v>
      </c>
      <c r="F17" s="2466">
        <v>0</v>
      </c>
      <c r="G17" s="1615" t="s">
        <v>1640</v>
      </c>
      <c r="I17" s="57"/>
      <c r="J17" s="57"/>
    </row>
    <row r="18" spans="1:15">
      <c r="A18" s="30">
        <v>4</v>
      </c>
      <c r="B18" s="2192">
        <v>9280000</v>
      </c>
      <c r="C18" s="1614" t="s">
        <v>1619</v>
      </c>
      <c r="D18" s="2466">
        <v>175.76</v>
      </c>
      <c r="E18" s="2146">
        <f t="shared" si="0"/>
        <v>0</v>
      </c>
      <c r="F18" s="2466">
        <v>175.76</v>
      </c>
      <c r="G18" s="1615" t="s">
        <v>1866</v>
      </c>
      <c r="I18" s="57"/>
      <c r="J18" s="57"/>
    </row>
    <row r="19" spans="1:15">
      <c r="A19" s="30">
        <v>5</v>
      </c>
      <c r="B19" s="2192">
        <v>9280000</v>
      </c>
      <c r="C19" s="1614" t="s">
        <v>1619</v>
      </c>
      <c r="D19" s="2466">
        <v>32653.699999999997</v>
      </c>
      <c r="E19" s="2146">
        <f t="shared" si="0"/>
        <v>32653.699999999997</v>
      </c>
      <c r="F19" s="2466">
        <v>0</v>
      </c>
      <c r="G19" s="1615" t="s">
        <v>1868</v>
      </c>
      <c r="I19" s="57"/>
      <c r="J19" s="57"/>
    </row>
    <row r="20" spans="1:15">
      <c r="A20" s="30">
        <v>6</v>
      </c>
      <c r="B20" s="2192">
        <v>9280000</v>
      </c>
      <c r="C20" s="1614" t="s">
        <v>1619</v>
      </c>
      <c r="D20" s="2466">
        <v>4972.9549999999981</v>
      </c>
      <c r="E20" s="2146">
        <f t="shared" si="0"/>
        <v>4972.9549999999981</v>
      </c>
      <c r="F20" s="2466">
        <v>0</v>
      </c>
      <c r="G20" s="1615" t="s">
        <v>1867</v>
      </c>
      <c r="I20" s="57"/>
      <c r="J20" s="57"/>
    </row>
    <row r="21" spans="1:15">
      <c r="A21" s="30">
        <v>7</v>
      </c>
      <c r="B21" s="2192">
        <v>9280000</v>
      </c>
      <c r="C21" s="1614" t="s">
        <v>1619</v>
      </c>
      <c r="D21" s="2466">
        <v>1303.6400000000001</v>
      </c>
      <c r="E21" s="2146">
        <f t="shared" si="0"/>
        <v>942.3900000000001</v>
      </c>
      <c r="F21" s="2466">
        <v>361.25000000000006</v>
      </c>
      <c r="G21" s="1615" t="s">
        <v>1865</v>
      </c>
      <c r="I21" s="57"/>
      <c r="J21" s="57"/>
    </row>
    <row r="22" spans="1:15">
      <c r="A22" s="30">
        <v>8</v>
      </c>
      <c r="B22" s="2192">
        <v>9280000</v>
      </c>
      <c r="C22" s="1614" t="s">
        <v>1619</v>
      </c>
      <c r="D22" s="2466">
        <v>43269.069999999992</v>
      </c>
      <c r="E22" s="2146">
        <f t="shared" si="0"/>
        <v>43269.069999999992</v>
      </c>
      <c r="F22" s="2466">
        <v>0</v>
      </c>
      <c r="G22" s="1615" t="s">
        <v>1642</v>
      </c>
      <c r="I22" s="57"/>
      <c r="J22" s="57"/>
    </row>
    <row r="23" spans="1:15" ht="16" customHeight="1">
      <c r="A23" s="30">
        <v>9</v>
      </c>
      <c r="B23" s="2078" t="s">
        <v>1591</v>
      </c>
      <c r="C23" s="1614" t="s">
        <v>1619</v>
      </c>
      <c r="D23" s="2466">
        <v>44.11</v>
      </c>
      <c r="E23" s="2146">
        <f>D23-F23</f>
        <v>44.11</v>
      </c>
      <c r="F23" s="2466">
        <v>0</v>
      </c>
      <c r="G23" s="1615" t="s">
        <v>1868</v>
      </c>
      <c r="H23"/>
      <c r="I23"/>
    </row>
    <row r="24" spans="1:15">
      <c r="A24" s="30">
        <v>10</v>
      </c>
      <c r="B24" s="2078">
        <v>9280001</v>
      </c>
      <c r="C24" s="1614" t="s">
        <v>1592</v>
      </c>
      <c r="D24" s="2466">
        <v>822.58999999999992</v>
      </c>
      <c r="E24" s="2146">
        <f t="shared" ref="E24:E112" si="1">D24-F24</f>
        <v>624.58971988604742</v>
      </c>
      <c r="F24" s="2146">
        <f>D24*'SWEPCO TCOS'!J63</f>
        <v>198.00028011395253</v>
      </c>
      <c r="G24" s="1615" t="s">
        <v>1869</v>
      </c>
    </row>
    <row r="25" spans="1:15">
      <c r="A25" s="30">
        <v>11</v>
      </c>
      <c r="B25" s="2078" t="s">
        <v>1593</v>
      </c>
      <c r="C25" s="1614" t="s">
        <v>1592</v>
      </c>
      <c r="D25" s="2466">
        <v>1562.57</v>
      </c>
      <c r="E25" s="2146">
        <f t="shared" si="1"/>
        <v>1186.4539547068905</v>
      </c>
      <c r="F25" s="2146">
        <f>D25*'SWEPCO TCOS'!J63</f>
        <v>376.11604529310938</v>
      </c>
      <c r="G25" s="1615" t="s">
        <v>1869</v>
      </c>
    </row>
    <row r="26" spans="1:15">
      <c r="A26" s="30">
        <v>12</v>
      </c>
      <c r="B26" s="1614" t="s">
        <v>1594</v>
      </c>
      <c r="C26" s="1614" t="s">
        <v>1620</v>
      </c>
      <c r="D26" s="2466">
        <v>0</v>
      </c>
      <c r="E26" s="2146">
        <f t="shared" si="1"/>
        <v>0</v>
      </c>
      <c r="F26" s="2146">
        <v>0</v>
      </c>
      <c r="G26" s="1615" t="s">
        <v>1643</v>
      </c>
      <c r="H26"/>
    </row>
    <row r="27" spans="1:15">
      <c r="A27" s="30">
        <v>13</v>
      </c>
      <c r="B27" s="1614" t="s">
        <v>1594</v>
      </c>
      <c r="C27" s="1614" t="s">
        <v>1620</v>
      </c>
      <c r="D27" s="2466">
        <v>6593.48</v>
      </c>
      <c r="E27" s="2146">
        <f t="shared" si="1"/>
        <v>6593.48</v>
      </c>
      <c r="F27" s="2146">
        <v>0</v>
      </c>
      <c r="G27" s="1615" t="s">
        <v>1644</v>
      </c>
      <c r="H27"/>
    </row>
    <row r="28" spans="1:15">
      <c r="A28" s="30">
        <v>14</v>
      </c>
      <c r="B28" s="1614" t="s">
        <v>1594</v>
      </c>
      <c r="C28" s="1614" t="s">
        <v>1620</v>
      </c>
      <c r="D28" s="2466">
        <v>63379.729999999996</v>
      </c>
      <c r="E28" s="2146">
        <f t="shared" si="1"/>
        <v>63379.729999999996</v>
      </c>
      <c r="F28" s="2146">
        <v>0</v>
      </c>
      <c r="G28" s="1615" t="s">
        <v>1645</v>
      </c>
      <c r="H28"/>
    </row>
    <row r="29" spans="1:15">
      <c r="A29" s="30">
        <v>15</v>
      </c>
      <c r="B29" s="1614" t="s">
        <v>1594</v>
      </c>
      <c r="C29" s="1614" t="s">
        <v>1620</v>
      </c>
      <c r="D29" s="2466">
        <v>22623.43</v>
      </c>
      <c r="E29" s="2146">
        <f t="shared" si="1"/>
        <v>22623.43</v>
      </c>
      <c r="F29" s="2146">
        <v>0</v>
      </c>
      <c r="G29" s="1615" t="s">
        <v>1597</v>
      </c>
      <c r="H29"/>
      <c r="J29"/>
    </row>
    <row r="30" spans="1:15">
      <c r="A30" s="30">
        <v>16</v>
      </c>
      <c r="B30" s="1614" t="s">
        <v>1594</v>
      </c>
      <c r="C30" s="1614" t="s">
        <v>1620</v>
      </c>
      <c r="D30" s="2466">
        <v>-4811.18</v>
      </c>
      <c r="E30" s="2146">
        <f t="shared" si="1"/>
        <v>-4811.18</v>
      </c>
      <c r="F30" s="2146">
        <v>0</v>
      </c>
      <c r="G30" s="1615" t="s">
        <v>1598</v>
      </c>
      <c r="H30"/>
    </row>
    <row r="31" spans="1:15">
      <c r="A31" s="30">
        <v>17</v>
      </c>
      <c r="B31" s="1614" t="s">
        <v>1594</v>
      </c>
      <c r="C31" s="1614" t="s">
        <v>1620</v>
      </c>
      <c r="D31" s="2466">
        <v>188411.62999999998</v>
      </c>
      <c r="E31" s="2146">
        <f t="shared" si="1"/>
        <v>131505.82999999999</v>
      </c>
      <c r="F31" s="2466">
        <v>56905.799999999988</v>
      </c>
      <c r="G31" s="1615" t="s">
        <v>1601</v>
      </c>
      <c r="H31"/>
      <c r="M31" s="2247"/>
      <c r="O31" s="2248"/>
    </row>
    <row r="32" spans="1:15">
      <c r="A32" s="30">
        <v>18</v>
      </c>
      <c r="B32" s="1614" t="s">
        <v>1594</v>
      </c>
      <c r="C32" s="1614" t="s">
        <v>1621</v>
      </c>
      <c r="D32" s="2466">
        <v>435.35999999999996</v>
      </c>
      <c r="E32" s="2146">
        <f t="shared" si="1"/>
        <v>315.95</v>
      </c>
      <c r="F32" s="2466">
        <v>119.40999999999998</v>
      </c>
      <c r="G32" s="1615" t="s">
        <v>1870</v>
      </c>
      <c r="H32"/>
      <c r="M32" s="2247"/>
      <c r="O32" s="2248"/>
    </row>
    <row r="33" spans="1:15">
      <c r="A33" s="30">
        <v>19</v>
      </c>
      <c r="B33" s="1614" t="s">
        <v>1594</v>
      </c>
      <c r="C33" s="1614" t="s">
        <v>1621</v>
      </c>
      <c r="D33" s="2466">
        <v>10440.280000000001</v>
      </c>
      <c r="E33" s="2146">
        <f t="shared" si="1"/>
        <v>10440.280000000001</v>
      </c>
      <c r="F33" s="2146">
        <v>0</v>
      </c>
      <c r="G33" s="1615" t="s">
        <v>1605</v>
      </c>
      <c r="H33"/>
      <c r="M33" s="2248"/>
      <c r="O33" s="2248"/>
    </row>
    <row r="34" spans="1:15">
      <c r="A34" s="30">
        <v>20</v>
      </c>
      <c r="B34" s="1614" t="s">
        <v>1594</v>
      </c>
      <c r="C34" s="1614" t="s">
        <v>1621</v>
      </c>
      <c r="D34" s="2466">
        <v>31616.429999999993</v>
      </c>
      <c r="E34" s="2146">
        <f t="shared" si="1"/>
        <v>31616.429999999993</v>
      </c>
      <c r="F34" s="2466">
        <v>0</v>
      </c>
      <c r="G34" s="1615" t="s">
        <v>1606</v>
      </c>
      <c r="H34"/>
    </row>
    <row r="35" spans="1:15">
      <c r="A35" s="30">
        <v>21</v>
      </c>
      <c r="B35" s="1614" t="s">
        <v>1594</v>
      </c>
      <c r="C35" s="1614" t="s">
        <v>1620</v>
      </c>
      <c r="D35" s="2466">
        <v>1787.02</v>
      </c>
      <c r="E35" s="2146">
        <f t="shared" si="1"/>
        <v>1787.02</v>
      </c>
      <c r="F35" s="2466">
        <v>0</v>
      </c>
      <c r="G35" s="1615" t="s">
        <v>1617</v>
      </c>
    </row>
    <row r="36" spans="1:15">
      <c r="A36" s="30">
        <v>22</v>
      </c>
      <c r="B36" s="1614" t="s">
        <v>1594</v>
      </c>
      <c r="C36" s="1614" t="s">
        <v>1621</v>
      </c>
      <c r="D36" s="2466">
        <v>240.18</v>
      </c>
      <c r="E36" s="2146">
        <f t="shared" si="1"/>
        <v>240.18</v>
      </c>
      <c r="F36" s="2146">
        <v>0</v>
      </c>
      <c r="G36" s="1615" t="s">
        <v>1610</v>
      </c>
      <c r="M36" s="2248"/>
      <c r="O36" s="2248"/>
    </row>
    <row r="37" spans="1:15">
      <c r="A37" s="30">
        <v>23</v>
      </c>
      <c r="B37" s="1614" t="s">
        <v>1594</v>
      </c>
      <c r="C37" s="1614" t="s">
        <v>1621</v>
      </c>
      <c r="D37" s="2466">
        <v>155.38</v>
      </c>
      <c r="E37" s="2146">
        <f t="shared" si="1"/>
        <v>155.38</v>
      </c>
      <c r="F37" s="2466">
        <v>0</v>
      </c>
      <c r="G37" s="1615" t="s">
        <v>1611</v>
      </c>
    </row>
    <row r="38" spans="1:15">
      <c r="A38" s="30">
        <v>24</v>
      </c>
      <c r="B38" s="1614" t="s">
        <v>1594</v>
      </c>
      <c r="C38" s="1614" t="s">
        <v>1621</v>
      </c>
      <c r="D38" s="2466">
        <v>13641.85</v>
      </c>
      <c r="E38" s="2146">
        <f t="shared" si="1"/>
        <v>7944.4399999999987</v>
      </c>
      <c r="F38" s="2466">
        <v>5697.4100000000017</v>
      </c>
      <c r="G38" s="1615" t="s">
        <v>1638</v>
      </c>
    </row>
    <row r="39" spans="1:15">
      <c r="A39" s="30">
        <v>25</v>
      </c>
      <c r="B39" s="1614" t="s">
        <v>1594</v>
      </c>
      <c r="C39" s="1614" t="s">
        <v>1621</v>
      </c>
      <c r="D39" s="2466">
        <v>17647.330000000002</v>
      </c>
      <c r="E39" s="2146">
        <f t="shared" si="1"/>
        <v>17647.330000000002</v>
      </c>
      <c r="F39" s="2466">
        <v>0</v>
      </c>
      <c r="G39" s="1615" t="s">
        <v>1639</v>
      </c>
    </row>
    <row r="40" spans="1:15">
      <c r="A40" s="30">
        <v>26</v>
      </c>
      <c r="B40" s="1614" t="s">
        <v>1594</v>
      </c>
      <c r="C40" s="1614" t="s">
        <v>1620</v>
      </c>
      <c r="D40" s="2466">
        <v>6644.4600000000009</v>
      </c>
      <c r="E40" s="2146">
        <f t="shared" si="1"/>
        <v>4830.6000000000004</v>
      </c>
      <c r="F40" s="2466">
        <v>1813.8600000000001</v>
      </c>
      <c r="G40" s="2218" t="s">
        <v>1872</v>
      </c>
    </row>
    <row r="41" spans="1:15">
      <c r="A41" s="30">
        <v>27</v>
      </c>
      <c r="B41" s="1614" t="s">
        <v>1594</v>
      </c>
      <c r="C41" s="1614" t="s">
        <v>1620</v>
      </c>
      <c r="D41" s="2466">
        <v>36901.5</v>
      </c>
      <c r="E41" s="2146">
        <f t="shared" si="1"/>
        <v>26819.489999999998</v>
      </c>
      <c r="F41" s="2466">
        <v>10082.01</v>
      </c>
      <c r="G41" s="2218" t="s">
        <v>1873</v>
      </c>
    </row>
    <row r="42" spans="1:15">
      <c r="A42" s="30">
        <v>28</v>
      </c>
      <c r="B42" s="1614" t="s">
        <v>1594</v>
      </c>
      <c r="C42" s="1614" t="s">
        <v>1620</v>
      </c>
      <c r="D42" s="2466">
        <v>4437.68</v>
      </c>
      <c r="E42" s="2146">
        <f t="shared" si="1"/>
        <v>3196.8900000000003</v>
      </c>
      <c r="F42" s="2466">
        <v>1240.7899999999997</v>
      </c>
      <c r="G42" s="2218" t="s">
        <v>1871</v>
      </c>
    </row>
    <row r="43" spans="1:15">
      <c r="A43" s="30">
        <v>29</v>
      </c>
      <c r="B43" s="1614" t="s">
        <v>1594</v>
      </c>
      <c r="C43" s="1614" t="s">
        <v>1620</v>
      </c>
      <c r="D43" s="2466">
        <v>12233.49</v>
      </c>
      <c r="E43" s="2146">
        <f t="shared" si="1"/>
        <v>12233.49</v>
      </c>
      <c r="F43" s="2466">
        <v>0</v>
      </c>
      <c r="G43" s="1615" t="s">
        <v>1640</v>
      </c>
    </row>
    <row r="44" spans="1:15">
      <c r="A44" s="30">
        <v>30</v>
      </c>
      <c r="B44" s="1614" t="s">
        <v>1594</v>
      </c>
      <c r="C44" s="1614" t="s">
        <v>1620</v>
      </c>
      <c r="D44" s="2466">
        <v>2085.6099999999997</v>
      </c>
      <c r="E44" s="2146">
        <f t="shared" si="1"/>
        <v>2085.6099999999997</v>
      </c>
      <c r="F44" s="2466">
        <v>0</v>
      </c>
      <c r="G44" s="1615" t="s">
        <v>1607</v>
      </c>
    </row>
    <row r="45" spans="1:15">
      <c r="A45" s="30">
        <v>31</v>
      </c>
      <c r="B45" s="1614" t="s">
        <v>1594</v>
      </c>
      <c r="C45" s="1614" t="s">
        <v>1620</v>
      </c>
      <c r="D45" s="2466">
        <v>40035.839999999997</v>
      </c>
      <c r="E45" s="2146">
        <f t="shared" si="1"/>
        <v>28766.270000000004</v>
      </c>
      <c r="F45" s="2466">
        <v>11269.569999999994</v>
      </c>
      <c r="G45" s="1615" t="s">
        <v>1870</v>
      </c>
    </row>
    <row r="46" spans="1:15">
      <c r="A46" s="30">
        <v>32</v>
      </c>
      <c r="B46" s="1614" t="s">
        <v>1594</v>
      </c>
      <c r="C46" s="1614" t="s">
        <v>1621</v>
      </c>
      <c r="D46" s="2466">
        <v>20354.7</v>
      </c>
      <c r="E46" s="2146">
        <f t="shared" si="1"/>
        <v>20354.7</v>
      </c>
      <c r="F46" s="2466">
        <v>0</v>
      </c>
      <c r="G46" s="1615" t="s">
        <v>1868</v>
      </c>
    </row>
    <row r="47" spans="1:15">
      <c r="A47" s="30">
        <v>33</v>
      </c>
      <c r="B47" s="1614" t="s">
        <v>1594</v>
      </c>
      <c r="C47" s="1614" t="s">
        <v>1621</v>
      </c>
      <c r="D47" s="2466">
        <v>11975.460000000001</v>
      </c>
      <c r="E47" s="2146">
        <f t="shared" si="1"/>
        <v>11975.460000000001</v>
      </c>
      <c r="F47" s="2466">
        <v>0</v>
      </c>
      <c r="G47" s="1615" t="s">
        <v>1868</v>
      </c>
    </row>
    <row r="48" spans="1:15">
      <c r="A48" s="30">
        <v>34</v>
      </c>
      <c r="B48" s="1614" t="s">
        <v>1594</v>
      </c>
      <c r="C48" s="1614" t="s">
        <v>1621</v>
      </c>
      <c r="D48" s="2466">
        <v>101.83999999999999</v>
      </c>
      <c r="E48" s="2146">
        <f t="shared" si="1"/>
        <v>0</v>
      </c>
      <c r="F48" s="2466">
        <v>101.83999999999999</v>
      </c>
      <c r="G48" s="1615" t="s">
        <v>1866</v>
      </c>
    </row>
    <row r="49" spans="1:7">
      <c r="A49" s="30">
        <v>35</v>
      </c>
      <c r="B49" s="1614" t="s">
        <v>1594</v>
      </c>
      <c r="C49" s="1614" t="s">
        <v>1621</v>
      </c>
      <c r="D49" s="2466">
        <v>227014.48</v>
      </c>
      <c r="E49" s="2146">
        <f t="shared" si="1"/>
        <v>227014.48</v>
      </c>
      <c r="F49" s="2466">
        <v>0</v>
      </c>
      <c r="G49" s="1615" t="s">
        <v>1868</v>
      </c>
    </row>
    <row r="50" spans="1:7">
      <c r="A50" s="30">
        <v>36</v>
      </c>
      <c r="B50" s="1614" t="s">
        <v>1594</v>
      </c>
      <c r="C50" s="1614" t="s">
        <v>1621</v>
      </c>
      <c r="D50" s="2466">
        <v>1911.92</v>
      </c>
      <c r="E50" s="2146">
        <f t="shared" si="1"/>
        <v>1911.92</v>
      </c>
      <c r="F50" s="2466">
        <v>0</v>
      </c>
      <c r="G50" s="1615" t="s">
        <v>1608</v>
      </c>
    </row>
    <row r="51" spans="1:7">
      <c r="A51" s="30">
        <v>37</v>
      </c>
      <c r="B51" s="1614" t="s">
        <v>1594</v>
      </c>
      <c r="C51" s="1614" t="s">
        <v>1621</v>
      </c>
      <c r="D51" s="2466">
        <v>1167479.1000000001</v>
      </c>
      <c r="E51" s="2146">
        <f t="shared" si="1"/>
        <v>1167479.1000000001</v>
      </c>
      <c r="F51" s="2466">
        <v>0</v>
      </c>
      <c r="G51" s="1615" t="s">
        <v>1868</v>
      </c>
    </row>
    <row r="52" spans="1:7">
      <c r="A52" s="30">
        <v>38</v>
      </c>
      <c r="B52" s="1614" t="s">
        <v>1594</v>
      </c>
      <c r="C52" s="1614" t="s">
        <v>1621</v>
      </c>
      <c r="D52" s="2466">
        <v>85749.14</v>
      </c>
      <c r="E52" s="2146">
        <f t="shared" si="1"/>
        <v>85749.14</v>
      </c>
      <c r="F52" s="2146">
        <v>0</v>
      </c>
      <c r="G52" s="1615" t="s">
        <v>1646</v>
      </c>
    </row>
    <row r="53" spans="1:7">
      <c r="A53" s="30">
        <v>39</v>
      </c>
      <c r="B53" s="1614" t="s">
        <v>1594</v>
      </c>
      <c r="C53" s="1614" t="s">
        <v>1621</v>
      </c>
      <c r="D53" s="2466">
        <v>3742.05</v>
      </c>
      <c r="E53" s="2146">
        <f t="shared" si="1"/>
        <v>3742.05</v>
      </c>
      <c r="F53" s="2466">
        <v>0</v>
      </c>
      <c r="G53" s="1615" t="s">
        <v>1609</v>
      </c>
    </row>
    <row r="54" spans="1:7">
      <c r="A54" s="30">
        <v>40</v>
      </c>
      <c r="B54" s="1614" t="s">
        <v>1594</v>
      </c>
      <c r="C54" s="1614" t="s">
        <v>1621</v>
      </c>
      <c r="D54" s="2466">
        <v>-146.47200000000157</v>
      </c>
      <c r="E54" s="2146">
        <f t="shared" si="1"/>
        <v>-146.47200000000157</v>
      </c>
      <c r="F54" s="2466">
        <v>0</v>
      </c>
      <c r="G54" s="1615" t="s">
        <v>1641</v>
      </c>
    </row>
    <row r="55" spans="1:7">
      <c r="A55" s="30">
        <v>41</v>
      </c>
      <c r="B55" s="1614" t="s">
        <v>1594</v>
      </c>
      <c r="C55" s="1614" t="s">
        <v>1621</v>
      </c>
      <c r="D55" s="2466">
        <v>61413.639999999985</v>
      </c>
      <c r="E55" s="2146">
        <f t="shared" si="1"/>
        <v>61413.639999999985</v>
      </c>
      <c r="F55" s="2466">
        <v>0</v>
      </c>
      <c r="G55" s="1615" t="s">
        <v>1642</v>
      </c>
    </row>
    <row r="56" spans="1:7">
      <c r="A56" s="30">
        <v>42</v>
      </c>
      <c r="B56" s="1614" t="s">
        <v>1594</v>
      </c>
      <c r="C56" s="1614" t="s">
        <v>1620</v>
      </c>
      <c r="D56" s="2466">
        <v>22431.159999999996</v>
      </c>
      <c r="E56" s="2146">
        <f t="shared" si="1"/>
        <v>22431.159999999996</v>
      </c>
      <c r="F56" s="2466">
        <v>0</v>
      </c>
      <c r="G56" s="1615" t="s">
        <v>1599</v>
      </c>
    </row>
    <row r="57" spans="1:7">
      <c r="A57" s="30">
        <v>43</v>
      </c>
      <c r="B57" s="1614" t="s">
        <v>1594</v>
      </c>
      <c r="C57" s="1614" t="s">
        <v>1621</v>
      </c>
      <c r="D57" s="2466">
        <v>1221.5600000000002</v>
      </c>
      <c r="E57" s="2146">
        <f t="shared" si="1"/>
        <v>0</v>
      </c>
      <c r="F57" s="2466">
        <v>1221.5600000000002</v>
      </c>
      <c r="G57" s="1615" t="s">
        <v>1866</v>
      </c>
    </row>
    <row r="58" spans="1:7">
      <c r="A58" s="30">
        <v>44</v>
      </c>
      <c r="B58" s="1614" t="s">
        <v>1594</v>
      </c>
      <c r="C58" s="1614" t="s">
        <v>1621</v>
      </c>
      <c r="D58" s="2466">
        <v>29164.440000000002</v>
      </c>
      <c r="E58" s="2146">
        <f t="shared" si="1"/>
        <v>29164.440000000002</v>
      </c>
      <c r="F58" s="2146">
        <v>0</v>
      </c>
      <c r="G58" s="1615" t="s">
        <v>1874</v>
      </c>
    </row>
    <row r="59" spans="1:7">
      <c r="A59" s="30">
        <v>45</v>
      </c>
      <c r="B59" s="1614" t="s">
        <v>1594</v>
      </c>
      <c r="C59" s="1614" t="s">
        <v>1621</v>
      </c>
      <c r="D59" s="2466">
        <v>0</v>
      </c>
      <c r="E59" s="2146">
        <f t="shared" si="1"/>
        <v>0</v>
      </c>
      <c r="F59" s="2146">
        <v>0</v>
      </c>
      <c r="G59" s="1615" t="s">
        <v>1602</v>
      </c>
    </row>
    <row r="60" spans="1:7">
      <c r="A60" s="30">
        <v>46</v>
      </c>
      <c r="B60" s="1614" t="s">
        <v>1594</v>
      </c>
      <c r="C60" s="1614" t="s">
        <v>1621</v>
      </c>
      <c r="D60" s="2466">
        <v>4763.5300000000007</v>
      </c>
      <c r="E60" s="2146">
        <f t="shared" si="1"/>
        <v>3455.1000000000008</v>
      </c>
      <c r="F60" s="2466">
        <v>1308.4299999999998</v>
      </c>
      <c r="G60" s="1615" t="s">
        <v>1871</v>
      </c>
    </row>
    <row r="61" spans="1:7">
      <c r="A61" s="30">
        <v>47</v>
      </c>
      <c r="B61" s="1614" t="s">
        <v>1594</v>
      </c>
      <c r="C61" s="1614" t="s">
        <v>1621</v>
      </c>
      <c r="D61" s="2466">
        <v>5634.38</v>
      </c>
      <c r="E61" s="2146">
        <f t="shared" si="1"/>
        <v>4051.84</v>
      </c>
      <c r="F61" s="2466">
        <v>1582.54</v>
      </c>
      <c r="G61" s="1615" t="s">
        <v>1870</v>
      </c>
    </row>
    <row r="62" spans="1:7">
      <c r="A62" s="30">
        <v>48</v>
      </c>
      <c r="B62" s="1614" t="s">
        <v>1594</v>
      </c>
      <c r="C62" s="1614" t="s">
        <v>1621</v>
      </c>
      <c r="D62" s="2466">
        <v>5671.8300000000017</v>
      </c>
      <c r="E62" s="2146">
        <f t="shared" si="1"/>
        <v>5671.8300000000017</v>
      </c>
      <c r="F62" s="2146">
        <v>0</v>
      </c>
      <c r="G62" s="1615" t="s">
        <v>1647</v>
      </c>
    </row>
    <row r="63" spans="1:7">
      <c r="A63" s="30">
        <v>49</v>
      </c>
      <c r="B63" s="1614" t="s">
        <v>1594</v>
      </c>
      <c r="C63" s="1614" t="s">
        <v>1621</v>
      </c>
      <c r="D63" s="2466">
        <v>625147.71000000008</v>
      </c>
      <c r="E63" s="2146">
        <f t="shared" si="1"/>
        <v>451773.31000000006</v>
      </c>
      <c r="F63" s="2466">
        <v>173374.40000000005</v>
      </c>
      <c r="G63" s="1615" t="s">
        <v>1612</v>
      </c>
    </row>
    <row r="64" spans="1:7">
      <c r="A64" s="30">
        <v>50</v>
      </c>
      <c r="B64" s="1614" t="s">
        <v>1594</v>
      </c>
      <c r="C64" s="1614" t="s">
        <v>1621</v>
      </c>
      <c r="D64" s="2466">
        <v>363255.19000000006</v>
      </c>
      <c r="E64" s="2146">
        <f t="shared" si="1"/>
        <v>363255.19000000006</v>
      </c>
      <c r="F64" s="2146">
        <v>0</v>
      </c>
      <c r="G64" s="1615" t="s">
        <v>1613</v>
      </c>
    </row>
    <row r="65" spans="1:7">
      <c r="A65" s="30">
        <v>51</v>
      </c>
      <c r="B65" s="1614" t="s">
        <v>1594</v>
      </c>
      <c r="C65" s="1614" t="s">
        <v>1621</v>
      </c>
      <c r="D65" s="2466">
        <v>19.299999999999983</v>
      </c>
      <c r="E65" s="2146">
        <f t="shared" si="1"/>
        <v>19.299999999999983</v>
      </c>
      <c r="F65" s="2466">
        <v>0</v>
      </c>
      <c r="G65" s="1615" t="s">
        <v>1868</v>
      </c>
    </row>
    <row r="66" spans="1:7">
      <c r="A66" s="30">
        <v>52</v>
      </c>
      <c r="B66" s="1614" t="s">
        <v>1594</v>
      </c>
      <c r="C66" s="1614" t="s">
        <v>1621</v>
      </c>
      <c r="D66" s="2466">
        <v>192444.51</v>
      </c>
      <c r="E66" s="2146">
        <f t="shared" si="1"/>
        <v>192444.51</v>
      </c>
      <c r="F66" s="2466">
        <v>0</v>
      </c>
      <c r="G66" s="1615" t="s">
        <v>1614</v>
      </c>
    </row>
    <row r="67" spans="1:7">
      <c r="A67" s="30">
        <v>53</v>
      </c>
      <c r="B67" s="1614" t="s">
        <v>1594</v>
      </c>
      <c r="C67" s="1614" t="s">
        <v>1621</v>
      </c>
      <c r="D67" s="2466">
        <v>517429.91000000009</v>
      </c>
      <c r="E67" s="2146">
        <f t="shared" si="1"/>
        <v>517429.91000000009</v>
      </c>
      <c r="F67" s="2466">
        <v>0</v>
      </c>
      <c r="G67" s="1615" t="s">
        <v>1603</v>
      </c>
    </row>
    <row r="68" spans="1:7">
      <c r="A68" s="30">
        <v>54</v>
      </c>
      <c r="B68" s="1614" t="s">
        <v>1594</v>
      </c>
      <c r="C68" s="1614" t="s">
        <v>1621</v>
      </c>
      <c r="D68" s="2466">
        <v>-23140.79</v>
      </c>
      <c r="E68" s="2146">
        <f t="shared" si="1"/>
        <v>-23140.79</v>
      </c>
      <c r="F68" s="2466">
        <v>0</v>
      </c>
      <c r="G68" s="1615" t="s">
        <v>1648</v>
      </c>
    </row>
    <row r="69" spans="1:7">
      <c r="A69" s="30">
        <v>55</v>
      </c>
      <c r="B69" s="1614" t="s">
        <v>1594</v>
      </c>
      <c r="C69" s="1614" t="s">
        <v>1621</v>
      </c>
      <c r="D69" s="2466">
        <v>6272.1999999999989</v>
      </c>
      <c r="E69" s="2146">
        <f t="shared" si="1"/>
        <v>6272.1999999999989</v>
      </c>
      <c r="F69" s="2466">
        <v>0</v>
      </c>
      <c r="G69" s="1615" t="s">
        <v>1868</v>
      </c>
    </row>
    <row r="70" spans="1:7">
      <c r="A70" s="30">
        <v>56</v>
      </c>
      <c r="B70" s="1614" t="s">
        <v>1594</v>
      </c>
      <c r="C70" s="1614" t="s">
        <v>1621</v>
      </c>
      <c r="D70" s="2466">
        <v>12882.539999999999</v>
      </c>
      <c r="E70" s="2146">
        <f t="shared" si="1"/>
        <v>12882.539999999999</v>
      </c>
      <c r="F70" s="2466">
        <v>0</v>
      </c>
      <c r="G70" s="1615" t="s">
        <v>1649</v>
      </c>
    </row>
    <row r="71" spans="1:7">
      <c r="A71" s="30">
        <v>57</v>
      </c>
      <c r="B71" s="1614" t="s">
        <v>1594</v>
      </c>
      <c r="C71" s="1614" t="s">
        <v>1621</v>
      </c>
      <c r="D71" s="2466">
        <v>-17282.55</v>
      </c>
      <c r="E71" s="2146">
        <f t="shared" si="1"/>
        <v>-17282.55</v>
      </c>
      <c r="F71" s="2466">
        <v>0</v>
      </c>
      <c r="G71" s="1615" t="s">
        <v>1600</v>
      </c>
    </row>
    <row r="72" spans="1:7">
      <c r="A72" s="30">
        <v>58</v>
      </c>
      <c r="B72" s="1614" t="s">
        <v>1594</v>
      </c>
      <c r="C72" s="1614" t="s">
        <v>1621</v>
      </c>
      <c r="D72" s="2466">
        <v>132828.57</v>
      </c>
      <c r="E72" s="2146">
        <f t="shared" si="1"/>
        <v>132828.57</v>
      </c>
      <c r="F72" s="2466">
        <v>0</v>
      </c>
      <c r="G72" s="1615" t="s">
        <v>1604</v>
      </c>
    </row>
    <row r="73" spans="1:7">
      <c r="A73" s="30">
        <v>59</v>
      </c>
      <c r="B73" s="1614" t="s">
        <v>1594</v>
      </c>
      <c r="C73" s="1614" t="s">
        <v>1621</v>
      </c>
      <c r="D73" s="2466">
        <v>267894.94999999995</v>
      </c>
      <c r="E73" s="2146">
        <f t="shared" si="1"/>
        <v>267894.94999999995</v>
      </c>
      <c r="F73" s="2466">
        <v>0</v>
      </c>
      <c r="G73" s="1615" t="s">
        <v>1615</v>
      </c>
    </row>
    <row r="74" spans="1:7">
      <c r="A74" s="30">
        <v>60</v>
      </c>
      <c r="B74" s="1614" t="s">
        <v>1594</v>
      </c>
      <c r="C74" s="1614" t="s">
        <v>1621</v>
      </c>
      <c r="D74" s="2466">
        <v>224.29000000000002</v>
      </c>
      <c r="E74" s="2146">
        <f t="shared" si="1"/>
        <v>224.29000000000002</v>
      </c>
      <c r="F74" s="2466">
        <v>0</v>
      </c>
      <c r="G74" s="1615" t="s">
        <v>1868</v>
      </c>
    </row>
    <row r="75" spans="1:7">
      <c r="A75" s="30">
        <v>61</v>
      </c>
      <c r="B75" s="1614" t="s">
        <v>1594</v>
      </c>
      <c r="C75" s="1614" t="s">
        <v>1621</v>
      </c>
      <c r="D75" s="2466">
        <v>12717.7</v>
      </c>
      <c r="E75" s="2146">
        <f t="shared" si="1"/>
        <v>12717.7</v>
      </c>
      <c r="F75" s="2466">
        <v>0</v>
      </c>
      <c r="G75" s="1615" t="s">
        <v>1871</v>
      </c>
    </row>
    <row r="76" spans="1:7">
      <c r="A76" s="30">
        <v>62</v>
      </c>
      <c r="B76" s="1614" t="s">
        <v>1594</v>
      </c>
      <c r="C76" s="1614" t="s">
        <v>1621</v>
      </c>
      <c r="D76" s="2466">
        <v>368349.35000000003</v>
      </c>
      <c r="E76" s="2146">
        <f t="shared" si="1"/>
        <v>368349.35000000003</v>
      </c>
      <c r="F76" s="2146">
        <v>0</v>
      </c>
      <c r="G76" s="1615" t="s">
        <v>1650</v>
      </c>
    </row>
    <row r="77" spans="1:7">
      <c r="A77" s="30">
        <v>63</v>
      </c>
      <c r="B77" s="1614" t="s">
        <v>1594</v>
      </c>
      <c r="C77" s="1614" t="s">
        <v>1621</v>
      </c>
      <c r="D77" s="2466">
        <v>234025.47999999998</v>
      </c>
      <c r="E77" s="2146">
        <f t="shared" si="1"/>
        <v>234025.47999999998</v>
      </c>
      <c r="F77" s="2146">
        <v>0</v>
      </c>
      <c r="G77" s="1615" t="s">
        <v>1651</v>
      </c>
    </row>
    <row r="78" spans="1:7">
      <c r="A78" s="30">
        <v>64</v>
      </c>
      <c r="B78" s="1614" t="s">
        <v>1594</v>
      </c>
      <c r="C78" s="1614" t="s">
        <v>1621</v>
      </c>
      <c r="D78" s="2466">
        <v>302629.23</v>
      </c>
      <c r="E78" s="2146">
        <f t="shared" si="1"/>
        <v>218905.43</v>
      </c>
      <c r="F78" s="2466">
        <v>83723.799999999988</v>
      </c>
      <c r="G78" s="1615" t="s">
        <v>1652</v>
      </c>
    </row>
    <row r="79" spans="1:7">
      <c r="A79" s="30">
        <v>65</v>
      </c>
      <c r="B79" s="1614" t="s">
        <v>1594</v>
      </c>
      <c r="C79" s="1614" t="s">
        <v>1621</v>
      </c>
      <c r="D79" s="2466">
        <v>26136.079999999994</v>
      </c>
      <c r="E79" s="2146">
        <f t="shared" si="1"/>
        <v>26136.079999999994</v>
      </c>
      <c r="F79" s="2146">
        <v>0</v>
      </c>
      <c r="G79" s="1615" t="s">
        <v>1653</v>
      </c>
    </row>
    <row r="80" spans="1:7">
      <c r="A80" s="30">
        <v>66</v>
      </c>
      <c r="B80" s="1614" t="s">
        <v>1594</v>
      </c>
      <c r="C80" s="1614" t="s">
        <v>1621</v>
      </c>
      <c r="D80" s="2466">
        <v>126680.71</v>
      </c>
      <c r="E80" s="2146">
        <f t="shared" si="1"/>
        <v>69083.37</v>
      </c>
      <c r="F80" s="2466">
        <v>57597.340000000011</v>
      </c>
      <c r="G80" s="1615" t="s">
        <v>1654</v>
      </c>
    </row>
    <row r="81" spans="1:7">
      <c r="A81" s="30">
        <v>67</v>
      </c>
      <c r="B81" s="1614" t="s">
        <v>1594</v>
      </c>
      <c r="C81" s="1614" t="s">
        <v>1621</v>
      </c>
      <c r="D81" s="2466">
        <v>9035.44</v>
      </c>
      <c r="E81" s="2146">
        <f t="shared" si="1"/>
        <v>9035.44</v>
      </c>
      <c r="F81" s="2146">
        <v>0</v>
      </c>
      <c r="G81" s="1615" t="s">
        <v>1655</v>
      </c>
    </row>
    <row r="82" spans="1:7">
      <c r="A82" s="30">
        <v>68</v>
      </c>
      <c r="B82" s="1614" t="s">
        <v>1594</v>
      </c>
      <c r="C82" s="1614" t="s">
        <v>1621</v>
      </c>
      <c r="D82" s="2466">
        <v>5876.51</v>
      </c>
      <c r="E82" s="2146">
        <f t="shared" si="1"/>
        <v>5876.51</v>
      </c>
      <c r="F82" s="2146">
        <v>0</v>
      </c>
      <c r="G82" s="1615" t="s">
        <v>1656</v>
      </c>
    </row>
    <row r="83" spans="1:7">
      <c r="A83" s="30">
        <v>69</v>
      </c>
      <c r="B83" s="1614" t="s">
        <v>1594</v>
      </c>
      <c r="C83" s="1614" t="s">
        <v>1621</v>
      </c>
      <c r="D83" s="2466">
        <v>24043.369999999995</v>
      </c>
      <c r="E83" s="2146">
        <f t="shared" si="1"/>
        <v>17323.739999999998</v>
      </c>
      <c r="F83" s="2466">
        <v>6719.6299999999992</v>
      </c>
      <c r="G83" s="1615" t="s">
        <v>1657</v>
      </c>
    </row>
    <row r="84" spans="1:7">
      <c r="A84" s="30">
        <v>70</v>
      </c>
      <c r="B84" s="1614" t="s">
        <v>1594</v>
      </c>
      <c r="C84" s="1614" t="s">
        <v>1621</v>
      </c>
      <c r="D84" s="2466">
        <v>339000.57999999996</v>
      </c>
      <c r="E84" s="2146">
        <f t="shared" si="1"/>
        <v>339000.57999999996</v>
      </c>
      <c r="F84" s="2466">
        <v>0</v>
      </c>
      <c r="G84" s="1615" t="s">
        <v>1658</v>
      </c>
    </row>
    <row r="85" spans="1:7">
      <c r="A85" s="30">
        <v>71</v>
      </c>
      <c r="B85" s="1614" t="s">
        <v>1594</v>
      </c>
      <c r="C85" s="1614" t="s">
        <v>1621</v>
      </c>
      <c r="D85" s="2466">
        <v>279263.16999999993</v>
      </c>
      <c r="E85" s="2146">
        <f t="shared" si="1"/>
        <v>279263.16999999993</v>
      </c>
      <c r="F85" s="2466">
        <v>0</v>
      </c>
      <c r="G85" s="1615" t="s">
        <v>1659</v>
      </c>
    </row>
    <row r="86" spans="1:7">
      <c r="A86" s="30">
        <v>72</v>
      </c>
      <c r="B86" s="1614" t="s">
        <v>1594</v>
      </c>
      <c r="C86" s="1614" t="s">
        <v>1621</v>
      </c>
      <c r="D86" s="2466">
        <v>2049.2600000000002</v>
      </c>
      <c r="E86" s="2146">
        <f t="shared" si="1"/>
        <v>2049.2600000000002</v>
      </c>
      <c r="F86" s="2466">
        <v>0</v>
      </c>
      <c r="G86" s="1615" t="s">
        <v>1660</v>
      </c>
    </row>
    <row r="87" spans="1:7">
      <c r="A87" s="30">
        <v>73</v>
      </c>
      <c r="B87" s="1614" t="s">
        <v>1594</v>
      </c>
      <c r="C87" s="1614" t="s">
        <v>1621</v>
      </c>
      <c r="D87" s="2466">
        <v>21285.68</v>
      </c>
      <c r="E87" s="2146">
        <f t="shared" si="1"/>
        <v>21285.68</v>
      </c>
      <c r="F87" s="2466">
        <v>0</v>
      </c>
      <c r="G87" s="1615" t="s">
        <v>1661</v>
      </c>
    </row>
    <row r="88" spans="1:7">
      <c r="A88" s="30">
        <v>74</v>
      </c>
      <c r="B88" s="1614" t="s">
        <v>1594</v>
      </c>
      <c r="C88" s="1614" t="s">
        <v>1621</v>
      </c>
      <c r="D88" s="2466">
        <v>12429.98</v>
      </c>
      <c r="E88" s="2146">
        <f t="shared" si="1"/>
        <v>12429.98</v>
      </c>
      <c r="F88" s="2466">
        <v>0</v>
      </c>
      <c r="G88" s="1615" t="s">
        <v>1662</v>
      </c>
    </row>
    <row r="89" spans="1:7">
      <c r="A89" s="30">
        <v>75</v>
      </c>
      <c r="B89" s="1614" t="s">
        <v>1594</v>
      </c>
      <c r="C89" s="1614" t="s">
        <v>1621</v>
      </c>
      <c r="D89" s="2466">
        <v>2536.1999999999998</v>
      </c>
      <c r="E89" s="2146">
        <f t="shared" si="1"/>
        <v>2536.1999999999998</v>
      </c>
      <c r="F89" s="2466">
        <v>0</v>
      </c>
      <c r="G89" s="1615" t="s">
        <v>1663</v>
      </c>
    </row>
    <row r="90" spans="1:7">
      <c r="A90" s="30">
        <v>76</v>
      </c>
      <c r="B90" s="1614" t="s">
        <v>1594</v>
      </c>
      <c r="C90" s="1614" t="s">
        <v>1621</v>
      </c>
      <c r="D90" s="2466">
        <v>16812.79</v>
      </c>
      <c r="E90" s="2146">
        <f t="shared" si="1"/>
        <v>16812.79</v>
      </c>
      <c r="F90" s="2466">
        <v>0</v>
      </c>
      <c r="G90" s="1615" t="s">
        <v>1664</v>
      </c>
    </row>
    <row r="91" spans="1:7">
      <c r="A91" s="30">
        <v>77</v>
      </c>
      <c r="B91" s="1614" t="s">
        <v>1594</v>
      </c>
      <c r="C91" s="1614" t="s">
        <v>1621</v>
      </c>
      <c r="D91" s="2466">
        <v>4062.7799999999997</v>
      </c>
      <c r="E91" s="2146">
        <f t="shared" si="1"/>
        <v>4062.7799999999997</v>
      </c>
      <c r="F91" s="2466">
        <v>0</v>
      </c>
      <c r="G91" s="1615" t="s">
        <v>1665</v>
      </c>
    </row>
    <row r="92" spans="1:7">
      <c r="A92" s="30">
        <v>78</v>
      </c>
      <c r="B92" s="1614" t="s">
        <v>1594</v>
      </c>
      <c r="C92" s="1614" t="s">
        <v>1621</v>
      </c>
      <c r="D92" s="2466">
        <v>18031.41</v>
      </c>
      <c r="E92" s="2146">
        <f t="shared" si="1"/>
        <v>18031.41</v>
      </c>
      <c r="F92" s="2466">
        <v>0</v>
      </c>
      <c r="G92" s="1615" t="s">
        <v>1666</v>
      </c>
    </row>
    <row r="93" spans="1:7">
      <c r="A93" s="30">
        <v>79</v>
      </c>
      <c r="B93" s="1614" t="s">
        <v>1594</v>
      </c>
      <c r="C93" s="1614" t="s">
        <v>1621</v>
      </c>
      <c r="D93" s="2466">
        <v>15211.099999999999</v>
      </c>
      <c r="E93" s="2146">
        <f t="shared" si="1"/>
        <v>15211.099999999999</v>
      </c>
      <c r="F93" s="2466">
        <v>0</v>
      </c>
      <c r="G93" s="1615" t="s">
        <v>1667</v>
      </c>
    </row>
    <row r="94" spans="1:7">
      <c r="A94" s="30">
        <v>80</v>
      </c>
      <c r="B94" s="1614" t="s">
        <v>1594</v>
      </c>
      <c r="C94" s="1614" t="s">
        <v>1621</v>
      </c>
      <c r="D94" s="2466">
        <v>87540.359999999986</v>
      </c>
      <c r="E94" s="2146">
        <f t="shared" si="1"/>
        <v>87540.359999999986</v>
      </c>
      <c r="F94" s="2466">
        <v>0</v>
      </c>
      <c r="G94" s="1615" t="s">
        <v>1668</v>
      </c>
    </row>
    <row r="95" spans="1:7">
      <c r="A95" s="30">
        <v>81</v>
      </c>
      <c r="B95" s="1614" t="s">
        <v>1594</v>
      </c>
      <c r="C95" s="1614" t="s">
        <v>1621</v>
      </c>
      <c r="D95" s="2466">
        <v>5033.17</v>
      </c>
      <c r="E95" s="2146">
        <f t="shared" si="1"/>
        <v>5033.17</v>
      </c>
      <c r="F95" s="2466">
        <v>0</v>
      </c>
      <c r="G95" s="1615" t="s">
        <v>1669</v>
      </c>
    </row>
    <row r="96" spans="1:7">
      <c r="A96" s="30">
        <v>82</v>
      </c>
      <c r="B96" s="1614" t="s">
        <v>1594</v>
      </c>
      <c r="C96" s="1614" t="s">
        <v>1621</v>
      </c>
      <c r="D96" s="2466">
        <v>19.060000000000002</v>
      </c>
      <c r="E96" s="2146">
        <f t="shared" si="1"/>
        <v>19.060000000000002</v>
      </c>
      <c r="F96" s="2466">
        <v>0</v>
      </c>
      <c r="G96" s="1615" t="s">
        <v>1875</v>
      </c>
    </row>
    <row r="97" spans="1:8">
      <c r="A97" s="30">
        <v>83</v>
      </c>
      <c r="B97" s="1614" t="s">
        <v>1595</v>
      </c>
      <c r="C97" s="1614" t="s">
        <v>1622</v>
      </c>
      <c r="D97" s="2466">
        <v>71509.16</v>
      </c>
      <c r="E97" s="2146">
        <f t="shared" si="1"/>
        <v>71509.16</v>
      </c>
      <c r="F97" s="2466">
        <v>0</v>
      </c>
      <c r="G97" s="1615" t="s">
        <v>1875</v>
      </c>
    </row>
    <row r="98" spans="1:8">
      <c r="A98" s="30">
        <v>84</v>
      </c>
      <c r="B98" s="1614" t="s">
        <v>1595</v>
      </c>
      <c r="C98" s="1614" t="s">
        <v>1622</v>
      </c>
      <c r="D98" s="2466">
        <v>55555.56</v>
      </c>
      <c r="E98" s="2146">
        <f t="shared" si="1"/>
        <v>55555.56</v>
      </c>
      <c r="F98" s="2466">
        <v>0</v>
      </c>
      <c r="G98" s="1615" t="s">
        <v>1875</v>
      </c>
    </row>
    <row r="99" spans="1:8">
      <c r="A99" s="30">
        <v>85</v>
      </c>
      <c r="B99" s="1614" t="s">
        <v>1595</v>
      </c>
      <c r="C99" s="1614" t="s">
        <v>1622</v>
      </c>
      <c r="D99" s="2466">
        <v>357545.8</v>
      </c>
      <c r="E99" s="2146">
        <f t="shared" si="1"/>
        <v>357545.8</v>
      </c>
      <c r="F99" s="2466">
        <v>0</v>
      </c>
      <c r="G99" s="1615" t="s">
        <v>1670</v>
      </c>
    </row>
    <row r="100" spans="1:8">
      <c r="B100" s="1614" t="s">
        <v>1595</v>
      </c>
      <c r="C100" s="1614" t="s">
        <v>1622</v>
      </c>
      <c r="D100" s="2466">
        <v>277777.8</v>
      </c>
      <c r="E100" s="2146">
        <f t="shared" ref="E100" si="2">D100-F100</f>
        <v>277777.8</v>
      </c>
      <c r="F100" s="2466">
        <v>0</v>
      </c>
      <c r="G100" s="1615" t="s">
        <v>1671</v>
      </c>
    </row>
    <row r="101" spans="1:8">
      <c r="A101" s="30">
        <v>86</v>
      </c>
      <c r="B101" s="1614" t="s">
        <v>1596</v>
      </c>
      <c r="C101" s="1614" t="s">
        <v>1623</v>
      </c>
      <c r="D101" s="2466">
        <v>220.26999999999998</v>
      </c>
      <c r="E101" s="2146">
        <f t="shared" si="1"/>
        <v>0.26999999999998181</v>
      </c>
      <c r="F101" s="2146">
        <v>220</v>
      </c>
      <c r="G101" s="1615" t="s">
        <v>1672</v>
      </c>
    </row>
    <row r="102" spans="1:8">
      <c r="A102" s="30">
        <v>87</v>
      </c>
      <c r="B102" s="1614" t="s">
        <v>1596</v>
      </c>
      <c r="C102" s="1614" t="s">
        <v>1623</v>
      </c>
      <c r="D102" s="2466">
        <v>90.409999999999798</v>
      </c>
      <c r="E102" s="2146">
        <f t="shared" si="1"/>
        <v>0.40999999999979764</v>
      </c>
      <c r="F102" s="2146">
        <v>90</v>
      </c>
      <c r="G102" s="1615" t="s">
        <v>1876</v>
      </c>
    </row>
    <row r="103" spans="1:8">
      <c r="A103" s="30">
        <v>88</v>
      </c>
      <c r="B103" s="1614" t="s">
        <v>1596</v>
      </c>
      <c r="C103" s="1614" t="s">
        <v>1623</v>
      </c>
      <c r="D103" s="2466">
        <v>25.03</v>
      </c>
      <c r="E103" s="2146">
        <f t="shared" si="1"/>
        <v>25.03</v>
      </c>
      <c r="F103" s="2146">
        <v>0</v>
      </c>
      <c r="G103" s="1615" t="s">
        <v>1639</v>
      </c>
    </row>
    <row r="104" spans="1:8">
      <c r="A104" s="30">
        <v>89</v>
      </c>
      <c r="B104" s="1614" t="s">
        <v>1596</v>
      </c>
      <c r="C104" s="1614" t="s">
        <v>1623</v>
      </c>
      <c r="D104" s="2466">
        <v>8932.9999999999982</v>
      </c>
      <c r="E104" s="2146">
        <f t="shared" si="1"/>
        <v>8932.9999999999982</v>
      </c>
      <c r="F104" s="2146">
        <v>0</v>
      </c>
      <c r="G104" s="1615" t="s">
        <v>1616</v>
      </c>
      <c r="H104"/>
    </row>
    <row r="105" spans="1:8">
      <c r="A105" s="30">
        <v>90</v>
      </c>
      <c r="B105" s="1614" t="s">
        <v>1596</v>
      </c>
      <c r="C105" s="1614" t="s">
        <v>1623</v>
      </c>
      <c r="D105" s="2466">
        <v>1023.1800000000001</v>
      </c>
      <c r="E105" s="2146">
        <f t="shared" si="1"/>
        <v>0.18000000000006366</v>
      </c>
      <c r="F105" s="2146">
        <v>1023</v>
      </c>
      <c r="G105" s="1615" t="s">
        <v>1877</v>
      </c>
      <c r="H105"/>
    </row>
    <row r="106" spans="1:8" ht="14.15" customHeight="1">
      <c r="A106" s="30">
        <v>91</v>
      </c>
      <c r="B106" s="1614" t="s">
        <v>1596</v>
      </c>
      <c r="C106" s="1614" t="s">
        <v>1623</v>
      </c>
      <c r="D106" s="2466">
        <v>17.349999999999998</v>
      </c>
      <c r="E106" s="2146">
        <f t="shared" si="1"/>
        <v>17.349999999999998</v>
      </c>
      <c r="F106" s="2146">
        <v>0</v>
      </c>
      <c r="G106" s="1615" t="s">
        <v>1640</v>
      </c>
      <c r="H106"/>
    </row>
    <row r="107" spans="1:8" ht="14.15" customHeight="1">
      <c r="B107" s="1614" t="s">
        <v>1596</v>
      </c>
      <c r="C107" s="1614" t="s">
        <v>1623</v>
      </c>
      <c r="D107" s="2466">
        <v>-6.0250000000000057</v>
      </c>
      <c r="E107" s="2146">
        <f t="shared" si="1"/>
        <v>-6.0250000000000057</v>
      </c>
      <c r="F107" s="2146">
        <v>0</v>
      </c>
      <c r="G107" s="1615" t="s">
        <v>1641</v>
      </c>
      <c r="H107"/>
    </row>
    <row r="108" spans="1:8" ht="14.15" customHeight="1">
      <c r="B108" s="1614" t="s">
        <v>1596</v>
      </c>
      <c r="C108" s="1614" t="s">
        <v>1623</v>
      </c>
      <c r="D108" s="2466">
        <v>276160.38999999996</v>
      </c>
      <c r="E108" s="2146">
        <f t="shared" si="1"/>
        <v>0.38999999995576218</v>
      </c>
      <c r="F108" s="2146">
        <v>276160</v>
      </c>
      <c r="G108" s="1615" t="s">
        <v>1618</v>
      </c>
      <c r="H108"/>
    </row>
    <row r="109" spans="1:8" ht="14.15" customHeight="1">
      <c r="B109" s="1614" t="s">
        <v>1596</v>
      </c>
      <c r="C109" s="1614" t="s">
        <v>1623</v>
      </c>
      <c r="D109" s="2466">
        <v>87.110000000000014</v>
      </c>
      <c r="E109" s="2146">
        <f t="shared" si="1"/>
        <v>87.110000000000014</v>
      </c>
      <c r="F109" s="2146">
        <v>0</v>
      </c>
      <c r="G109" s="1615" t="s">
        <v>1642</v>
      </c>
      <c r="H109"/>
    </row>
    <row r="110" spans="1:8" ht="14.15" customHeight="1">
      <c r="B110" s="1614" t="s">
        <v>1596</v>
      </c>
      <c r="C110" s="1614" t="s">
        <v>1623</v>
      </c>
      <c r="D110" s="2466">
        <v>-3</v>
      </c>
      <c r="E110" s="2146">
        <f t="shared" si="1"/>
        <v>0</v>
      </c>
      <c r="F110" s="2146">
        <v>-3</v>
      </c>
      <c r="G110" s="1615" t="s">
        <v>1876</v>
      </c>
      <c r="H110"/>
    </row>
    <row r="111" spans="1:8">
      <c r="A111" s="30">
        <v>92</v>
      </c>
      <c r="B111" s="1614" t="s">
        <v>1624</v>
      </c>
      <c r="C111" s="1614" t="s">
        <v>1585</v>
      </c>
      <c r="D111" s="2466">
        <v>1412891.81</v>
      </c>
      <c r="E111" s="2146">
        <f t="shared" si="1"/>
        <v>1072803.8267389473</v>
      </c>
      <c r="F111" s="2146">
        <f>D111*'SWEPCO TCOS'!J63</f>
        <v>340087.98326105281</v>
      </c>
      <c r="G111" s="1615" t="s">
        <v>1585</v>
      </c>
    </row>
    <row r="112" spans="1:8">
      <c r="A112" s="30">
        <v>93</v>
      </c>
      <c r="B112" s="1614" t="s">
        <v>1624</v>
      </c>
      <c r="C112" s="1614" t="s">
        <v>1585</v>
      </c>
      <c r="D112" s="2466">
        <v>1161140.46</v>
      </c>
      <c r="E112" s="2146">
        <f t="shared" si="1"/>
        <v>881649.90415608778</v>
      </c>
      <c r="F112" s="2146">
        <f>D112*'SWEPCO TCOS'!J63</f>
        <v>279490.55584391218</v>
      </c>
      <c r="G112" s="1615" t="s">
        <v>1585</v>
      </c>
    </row>
    <row r="113" spans="1:9">
      <c r="A113" s="30">
        <v>96</v>
      </c>
      <c r="B113" s="1614"/>
      <c r="C113" s="1614"/>
      <c r="D113" s="2146"/>
      <c r="E113" s="2146"/>
      <c r="F113" s="2146"/>
      <c r="G113" s="1791"/>
    </row>
    <row r="114" spans="1:9">
      <c r="B114" s="145"/>
      <c r="C114" s="56"/>
      <c r="D114" s="73"/>
      <c r="E114" s="74"/>
      <c r="F114" s="75"/>
      <c r="G114" s="23"/>
    </row>
    <row r="115" spans="1:9">
      <c r="A115" s="30">
        <f>+A113+1</f>
        <v>97</v>
      </c>
      <c r="B115" s="71"/>
      <c r="C115" s="184" t="s">
        <v>627</v>
      </c>
      <c r="D115" s="76">
        <f>SUM(D15:D113)</f>
        <v>9822614.4580000006</v>
      </c>
      <c r="E115" s="76">
        <f>SUM(E15:E113)</f>
        <v>8511653.3625696246</v>
      </c>
      <c r="F115" s="76">
        <f>SUM(F15:F113)</f>
        <v>1310961.0954303723</v>
      </c>
      <c r="G115"/>
    </row>
    <row r="116" spans="1:9">
      <c r="B116" s="71"/>
      <c r="C116" s="77"/>
      <c r="D116" s="1824"/>
      <c r="E116" s="23"/>
      <c r="F116" s="23"/>
      <c r="G116" s="23"/>
    </row>
    <row r="117" spans="1:9">
      <c r="B117" s="30"/>
      <c r="C117" s="34" t="s">
        <v>350</v>
      </c>
      <c r="D117" s="1824"/>
      <c r="E117" s="23"/>
      <c r="F117" s="23"/>
      <c r="G117" s="23"/>
      <c r="H117"/>
    </row>
    <row r="118" spans="1:9">
      <c r="A118" s="30">
        <f>A115+1</f>
        <v>98</v>
      </c>
      <c r="B118" s="1614" t="s">
        <v>1021</v>
      </c>
      <c r="C118" s="1616" t="s">
        <v>1530</v>
      </c>
      <c r="D118" s="2467">
        <v>333517.07900000003</v>
      </c>
      <c r="E118" s="1615">
        <f>+D118</f>
        <v>333517.07900000003</v>
      </c>
      <c r="F118" s="2146">
        <v>0</v>
      </c>
      <c r="G118" s="1616" t="s">
        <v>1024</v>
      </c>
      <c r="H118"/>
    </row>
    <row r="119" spans="1:9">
      <c r="A119" s="30">
        <f>A118+1</f>
        <v>99</v>
      </c>
      <c r="B119" s="1614"/>
      <c r="C119" s="1616"/>
      <c r="D119" s="1617"/>
      <c r="E119" s="1617"/>
      <c r="F119" s="1617"/>
      <c r="G119" s="1616"/>
      <c r="H119"/>
    </row>
    <row r="120" spans="1:9">
      <c r="A120" s="30">
        <f t="shared" ref="A120:A122" si="3">A119+1</f>
        <v>100</v>
      </c>
      <c r="B120" s="1614"/>
      <c r="C120" s="1616"/>
      <c r="D120" s="1617"/>
      <c r="E120" s="1617"/>
      <c r="F120" s="1617"/>
      <c r="G120" s="1616"/>
      <c r="H120"/>
    </row>
    <row r="121" spans="1:9">
      <c r="A121" s="30">
        <f t="shared" si="3"/>
        <v>101</v>
      </c>
      <c r="B121" s="1614"/>
      <c r="C121" s="1616"/>
      <c r="D121" s="1617"/>
      <c r="E121" s="1617"/>
      <c r="F121" s="1617"/>
      <c r="G121" s="1616"/>
      <c r="H121"/>
    </row>
    <row r="122" spans="1:9">
      <c r="A122" s="30">
        <f t="shared" si="3"/>
        <v>102</v>
      </c>
      <c r="B122" s="1618"/>
      <c r="C122" s="1619"/>
      <c r="D122" s="1620"/>
      <c r="E122" s="1620"/>
      <c r="F122" s="1620"/>
      <c r="G122" s="1619"/>
      <c r="H122"/>
    </row>
    <row r="123" spans="1:9">
      <c r="B123" s="145"/>
      <c r="C123" s="23"/>
      <c r="D123" s="79"/>
      <c r="E123" s="80"/>
      <c r="F123" s="79"/>
      <c r="G123" s="23"/>
      <c r="H123"/>
    </row>
    <row r="124" spans="1:9">
      <c r="A124" s="30">
        <f>+A122+1</f>
        <v>103</v>
      </c>
      <c r="B124" s="71"/>
      <c r="C124" s="1621" t="s">
        <v>628</v>
      </c>
      <c r="D124" s="81">
        <f>SUM(D118:D123)</f>
        <v>333517.07900000003</v>
      </c>
      <c r="E124" s="81">
        <f>SUM(E118:E123)</f>
        <v>333517.07900000003</v>
      </c>
      <c r="F124" s="81">
        <f>SUM(F118:F123)</f>
        <v>0</v>
      </c>
      <c r="G124"/>
    </row>
    <row r="125" spans="1:9" ht="12.75" customHeight="1">
      <c r="B125" s="18"/>
      <c r="C125" s="18"/>
      <c r="D125" s="26"/>
      <c r="E125" s="26"/>
      <c r="F125" s="26"/>
      <c r="G125" s="18"/>
    </row>
    <row r="126" spans="1:9">
      <c r="B126" s="25"/>
      <c r="C126" s="34" t="s">
        <v>349</v>
      </c>
      <c r="D126" s="1622"/>
      <c r="E126" s="1622"/>
      <c r="F126" s="1622"/>
      <c r="G126" s="25"/>
      <c r="H126"/>
    </row>
    <row r="127" spans="1:9">
      <c r="A127" s="30">
        <f>+A124+1</f>
        <v>104</v>
      </c>
      <c r="B127" s="1623" t="s">
        <v>1625</v>
      </c>
      <c r="C127" s="1623" t="s">
        <v>1587</v>
      </c>
      <c r="D127" s="2468">
        <v>1173062.8740000001</v>
      </c>
      <c r="E127" s="1615">
        <f t="shared" ref="E127:E132" si="4">D127-F127</f>
        <v>1173062.8740000001</v>
      </c>
      <c r="F127" s="1623">
        <v>0</v>
      </c>
      <c r="G127" s="1623"/>
      <c r="H127"/>
      <c r="I127"/>
    </row>
    <row r="128" spans="1:9">
      <c r="A128" s="30">
        <f>+A127+1</f>
        <v>105</v>
      </c>
      <c r="B128" s="1623" t="s">
        <v>1626</v>
      </c>
      <c r="C128" s="1623" t="s">
        <v>1588</v>
      </c>
      <c r="D128" s="2468">
        <v>281505.96100000001</v>
      </c>
      <c r="E128" s="1615">
        <f t="shared" si="4"/>
        <v>281505.96100000001</v>
      </c>
      <c r="F128" s="1623">
        <v>0</v>
      </c>
      <c r="G128" s="1616"/>
      <c r="H128"/>
      <c r="I128"/>
    </row>
    <row r="129" spans="1:10">
      <c r="A129" s="30">
        <f t="shared" ref="A129:A134" si="5">+A128+1</f>
        <v>106</v>
      </c>
      <c r="B129" s="1623" t="s">
        <v>1627</v>
      </c>
      <c r="C129" s="1623" t="s">
        <v>1589</v>
      </c>
      <c r="D129" s="2468">
        <v>1963.9099999999999</v>
      </c>
      <c r="E129" s="1615">
        <f t="shared" si="4"/>
        <v>1963.9099999999999</v>
      </c>
      <c r="F129" s="1623">
        <v>0</v>
      </c>
      <c r="G129" s="1616"/>
      <c r="H129"/>
      <c r="I129"/>
    </row>
    <row r="130" spans="1:10">
      <c r="A130" s="30">
        <f t="shared" si="5"/>
        <v>107</v>
      </c>
      <c r="B130" s="1623" t="s">
        <v>1628</v>
      </c>
      <c r="C130" s="1623" t="s">
        <v>1590</v>
      </c>
      <c r="D130" s="2468">
        <v>25385.899999999994</v>
      </c>
      <c r="E130" s="1615">
        <f t="shared" si="4"/>
        <v>25385.899999999994</v>
      </c>
      <c r="F130" s="2468">
        <v>0</v>
      </c>
      <c r="G130" s="1616"/>
      <c r="H130"/>
      <c r="I130"/>
    </row>
    <row r="131" spans="1:10">
      <c r="A131" s="30">
        <f t="shared" si="5"/>
        <v>108</v>
      </c>
      <c r="B131" s="1623" t="s">
        <v>1629</v>
      </c>
      <c r="C131" s="1623" t="s">
        <v>1586</v>
      </c>
      <c r="D131" s="2468">
        <v>4435532.4099999927</v>
      </c>
      <c r="E131" s="1615">
        <f t="shared" si="4"/>
        <v>0.40999999269843102</v>
      </c>
      <c r="F131" s="1623">
        <v>4435532</v>
      </c>
      <c r="G131" s="1616"/>
      <c r="H131"/>
      <c r="I131"/>
    </row>
    <row r="132" spans="1:10">
      <c r="A132" s="30">
        <f t="shared" si="5"/>
        <v>109</v>
      </c>
      <c r="B132" s="1623" t="s">
        <v>1629</v>
      </c>
      <c r="C132" s="1623" t="s">
        <v>1556</v>
      </c>
      <c r="D132" s="2468">
        <v>189376.65999999977</v>
      </c>
      <c r="E132" s="1615">
        <f t="shared" si="4"/>
        <v>189376.65999999977</v>
      </c>
      <c r="F132" s="1623">
        <v>0</v>
      </c>
      <c r="G132" s="1616"/>
      <c r="H132"/>
      <c r="I132"/>
    </row>
    <row r="133" spans="1:10">
      <c r="A133" s="30">
        <f t="shared" si="5"/>
        <v>110</v>
      </c>
      <c r="B133" s="2078"/>
      <c r="C133" s="1623"/>
      <c r="D133" s="1623"/>
      <c r="E133" s="1615"/>
      <c r="F133" s="1623"/>
      <c r="G133" s="1616"/>
      <c r="H133"/>
      <c r="I133"/>
    </row>
    <row r="134" spans="1:10">
      <c r="A134" s="30">
        <f t="shared" si="5"/>
        <v>111</v>
      </c>
      <c r="B134" s="2078"/>
      <c r="C134" s="1623"/>
      <c r="D134" s="1623"/>
      <c r="E134" s="1615"/>
      <c r="F134" s="1623"/>
      <c r="G134" s="1616"/>
      <c r="H134"/>
      <c r="I134"/>
    </row>
    <row r="135" spans="1:10">
      <c r="B135" s="2078"/>
      <c r="C135" s="1623"/>
      <c r="D135" s="1623"/>
      <c r="E135" s="1615"/>
      <c r="F135" s="1623"/>
      <c r="G135" s="1616"/>
      <c r="H135"/>
      <c r="I135"/>
    </row>
    <row r="136" spans="1:10">
      <c r="B136" s="18"/>
      <c r="C136" s="18"/>
      <c r="D136" s="18"/>
      <c r="E136" s="18"/>
      <c r="F136" s="18"/>
      <c r="G136" s="18"/>
    </row>
    <row r="137" spans="1:10">
      <c r="A137" s="30">
        <f>+A134+1</f>
        <v>112</v>
      </c>
      <c r="B137" s="18"/>
      <c r="C137" s="1621" t="s">
        <v>629</v>
      </c>
      <c r="D137" s="76">
        <f>SUM(D127:D136)</f>
        <v>6106827.7149999924</v>
      </c>
      <c r="E137" s="78">
        <f>SUM(E127:E136)</f>
        <v>1671295.7149999922</v>
      </c>
      <c r="F137" s="78">
        <f>SUM(F127:F136)</f>
        <v>4435532</v>
      </c>
      <c r="G137"/>
      <c r="J137" s="58"/>
    </row>
    <row r="138" spans="1:10">
      <c r="B138" s="286"/>
      <c r="C138" s="286"/>
      <c r="D138" s="1825"/>
      <c r="E138" s="286"/>
      <c r="F138" s="286"/>
      <c r="G138" s="286"/>
    </row>
    <row r="139" spans="1:10">
      <c r="D139" s="1811"/>
    </row>
    <row r="140" spans="1:10" ht="47.25" customHeight="1">
      <c r="B140" s="2359"/>
      <c r="C140" s="2359"/>
      <c r="D140" s="2359"/>
      <c r="E140" s="2359"/>
      <c r="F140" s="2359"/>
      <c r="G140" s="2359"/>
    </row>
    <row r="141" spans="1:10">
      <c r="D141" s="62"/>
    </row>
    <row r="144" spans="1:10">
      <c r="D144" s="63"/>
    </row>
  </sheetData>
  <mergeCells count="7">
    <mergeCell ref="B140:G140"/>
    <mergeCell ref="A2:G2"/>
    <mergeCell ref="A3:G3"/>
    <mergeCell ref="A4:G4"/>
    <mergeCell ref="A5:G5"/>
    <mergeCell ref="A6:F6"/>
    <mergeCell ref="A7:G7"/>
  </mergeCells>
  <conditionalFormatting sqref="H15:H22 K15:K22 H24:H25 H35:H103 H111 H113 H115:I115 H124 H137:I137">
    <cfRule type="cellIs" dxfId="0" priority="10" stopIfTrue="1" operator="equal">
      <formula>FALSE</formula>
    </cfRule>
  </conditionalFormatting>
  <printOptions horizontalCentered="1"/>
  <pageMargins left="0.75" right="0.75" top="1" bottom="0.25" header="0.65" footer="0.5"/>
  <pageSetup scale="10" orientation="portrait" horizontalDpi="1200" verticalDpi="1200" r:id="rId1"/>
  <headerFooter alignWithMargins="0">
    <oddHeader xml:space="preserve">&amp;R&amp;12AEP - SPP Formula Rate
 TCOS - WS J
Page: &amp;P of &amp;N&amp;16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53"/>
  <sheetViews>
    <sheetView topLeftCell="A32" zoomScale="81" zoomScaleNormal="81" zoomScaleSheetLayoutView="75" workbookViewId="0">
      <selection activeCell="J49" sqref="J49"/>
    </sheetView>
  </sheetViews>
  <sheetFormatPr defaultColWidth="8.81640625" defaultRowHeight="12.5"/>
  <cols>
    <col min="1" max="1" width="9.453125" style="286" bestFit="1" customWidth="1"/>
    <col min="2" max="2" width="32.54296875" style="286" customWidth="1"/>
    <col min="3" max="4" width="8.81640625" style="286"/>
    <col min="5" max="5" width="15" style="286" customWidth="1"/>
    <col min="6" max="6" width="11" style="286" bestFit="1" customWidth="1"/>
    <col min="7" max="7" width="10.81640625" style="286" customWidth="1"/>
    <col min="8" max="8" width="5" style="286" customWidth="1"/>
    <col min="9" max="9" width="21" style="286" bestFit="1" customWidth="1"/>
    <col min="10" max="10" width="2.1796875" style="286" customWidth="1"/>
    <col min="11" max="11" width="15.54296875" style="286" bestFit="1" customWidth="1"/>
    <col min="12" max="12" width="4.81640625" style="286" customWidth="1"/>
    <col min="13" max="16384" width="8.81640625" style="286"/>
  </cols>
  <sheetData>
    <row r="1" spans="1:12" ht="15.5">
      <c r="A1" s="206"/>
    </row>
    <row r="2" spans="1:12" ht="17.5">
      <c r="A2" s="2284" t="str">
        <f>+'SWEPCO TCOS'!F4</f>
        <v xml:space="preserve">AEP West SPP Member Operating Companies </v>
      </c>
      <c r="B2" s="2284"/>
      <c r="C2" s="2284"/>
      <c r="D2" s="2284"/>
      <c r="E2" s="2284"/>
      <c r="F2" s="2284"/>
      <c r="G2" s="2284"/>
      <c r="H2" s="2284"/>
      <c r="I2" s="111"/>
      <c r="J2" s="111"/>
    </row>
    <row r="3" spans="1:12" ht="17.5">
      <c r="A3" s="2402" t="str">
        <f>+'SWEPCO WS A-1 - Plant'!A3</f>
        <v xml:space="preserve">Actual / Projected 2024 Rate Year Cost of Service Formula Rate </v>
      </c>
      <c r="B3" s="2402"/>
      <c r="C3" s="2402"/>
      <c r="D3" s="2402"/>
      <c r="E3" s="2402"/>
      <c r="F3" s="2402"/>
      <c r="G3" s="2402"/>
      <c r="H3" s="2402"/>
      <c r="I3" s="111"/>
      <c r="J3" s="111"/>
    </row>
    <row r="4" spans="1:12" ht="17.5">
      <c r="A4" s="2403" t="s">
        <v>114</v>
      </c>
      <c r="B4" s="2402"/>
      <c r="C4" s="2402"/>
      <c r="D4" s="2402"/>
      <c r="E4" s="2402"/>
      <c r="F4" s="2402"/>
      <c r="G4" s="2402"/>
      <c r="H4" s="2402"/>
      <c r="I4" s="111"/>
      <c r="J4" s="111"/>
    </row>
    <row r="5" spans="1:12" ht="17.5">
      <c r="A5" s="2340" t="str">
        <f>+'SWEPCO TCOS'!F8</f>
        <v>SOUTHWESTERN ELECTRIC POWER COMPANY</v>
      </c>
      <c r="B5" s="2340"/>
      <c r="C5" s="2340"/>
      <c r="D5" s="2340"/>
      <c r="E5" s="2340"/>
      <c r="F5" s="2340"/>
      <c r="G5" s="2340"/>
      <c r="I5" s="111"/>
      <c r="J5" s="111"/>
    </row>
    <row r="7" spans="1:12" ht="21.75" customHeight="1">
      <c r="A7" s="185" t="s">
        <v>310</v>
      </c>
      <c r="B7" s="35" t="str">
        <f>"DEVELOPMENT OF COMPOSITE STATE INCOME TAX  RATES FOR "&amp;'SWEPCO TCOS'!$N$2&amp;""</f>
        <v>DEVELOPMENT OF COMPOSITE STATE INCOME TAX  RATES FOR 2024</v>
      </c>
      <c r="C7" s="35"/>
      <c r="D7" s="35"/>
      <c r="E7" s="35"/>
      <c r="F7" s="35"/>
      <c r="G7" s="35"/>
      <c r="H7" s="35"/>
      <c r="I7" s="35"/>
      <c r="J7" s="35"/>
    </row>
    <row r="8" spans="1:12" ht="12.75" customHeight="1">
      <c r="A8" s="35"/>
    </row>
    <row r="9" spans="1:12" ht="18">
      <c r="A9" s="65"/>
      <c r="B9" s="1624" t="s">
        <v>972</v>
      </c>
      <c r="C9" s="1624"/>
      <c r="D9" s="27"/>
      <c r="E9" s="2469">
        <v>4.2999999999999997E-2</v>
      </c>
      <c r="F9" s="18"/>
      <c r="G9" s="19"/>
      <c r="H9" s="19"/>
      <c r="L9" s="354"/>
    </row>
    <row r="10" spans="1:12" ht="15.5">
      <c r="A10" s="354"/>
      <c r="B10" s="18" t="s">
        <v>340</v>
      </c>
      <c r="C10" s="26"/>
      <c r="D10" s="26"/>
      <c r="E10" s="2469">
        <v>0.21609999999999999</v>
      </c>
      <c r="F10" s="18"/>
      <c r="G10" s="19"/>
      <c r="H10" s="19"/>
      <c r="L10" s="354"/>
    </row>
    <row r="11" spans="1:12" ht="15.5">
      <c r="A11" s="354"/>
      <c r="B11" s="18" t="s">
        <v>36</v>
      </c>
      <c r="C11" s="26"/>
      <c r="D11" s="26"/>
      <c r="E11" s="18"/>
      <c r="F11" s="28">
        <f>ROUND(E9*E10,6)</f>
        <v>9.2919999999999999E-3</v>
      </c>
      <c r="G11" s="19"/>
      <c r="L11" s="354"/>
    </row>
    <row r="12" spans="1:12" ht="15.5">
      <c r="A12" s="354"/>
      <c r="B12" s="18"/>
      <c r="C12" s="26"/>
      <c r="D12" s="26"/>
      <c r="E12" s="26"/>
      <c r="F12" s="28"/>
      <c r="G12" s="19"/>
      <c r="L12" s="354"/>
    </row>
    <row r="13" spans="1:12" ht="15.5">
      <c r="A13" s="354"/>
      <c r="B13" s="1624" t="s">
        <v>973</v>
      </c>
      <c r="C13" s="1624"/>
      <c r="D13" s="26"/>
      <c r="E13" s="2469">
        <v>7.4999999999999997E-2</v>
      </c>
      <c r="F13" s="28"/>
      <c r="G13" s="19"/>
      <c r="L13" s="354"/>
    </row>
    <row r="14" spans="1:12" ht="15.5">
      <c r="A14" s="354"/>
      <c r="B14" s="18" t="s">
        <v>340</v>
      </c>
      <c r="C14" s="26"/>
      <c r="D14" s="26"/>
      <c r="E14" s="2469">
        <v>0.38750000000000001</v>
      </c>
      <c r="F14" s="28"/>
      <c r="G14" s="19"/>
      <c r="L14" s="354"/>
    </row>
    <row r="15" spans="1:12" ht="15.5">
      <c r="A15" s="354"/>
      <c r="B15" s="18" t="s">
        <v>36</v>
      </c>
      <c r="C15" s="26"/>
      <c r="D15" s="26"/>
      <c r="E15" s="18"/>
      <c r="F15" s="28">
        <f>ROUND(E13*E14,6)</f>
        <v>2.9062999999999999E-2</v>
      </c>
      <c r="G15" s="19"/>
      <c r="L15" s="354"/>
    </row>
    <row r="16" spans="1:12" ht="15.5">
      <c r="A16" s="354"/>
      <c r="B16" s="18"/>
      <c r="C16" s="26"/>
      <c r="D16" s="26"/>
      <c r="E16" s="26"/>
      <c r="F16" s="28"/>
      <c r="G16" s="19"/>
      <c r="L16" s="354"/>
    </row>
    <row r="17" spans="1:12" ht="15.5">
      <c r="A17" s="354"/>
      <c r="B17" s="1624" t="s">
        <v>130</v>
      </c>
      <c r="C17" s="1624"/>
      <c r="D17" s="120"/>
      <c r="E17" s="2469">
        <v>3.8461538461538464E-2</v>
      </c>
      <c r="F17" s="121"/>
      <c r="G17" s="19"/>
      <c r="L17" s="354"/>
    </row>
    <row r="18" spans="1:12" ht="15.5">
      <c r="A18" s="354"/>
      <c r="B18" s="18" t="s">
        <v>340</v>
      </c>
      <c r="C18" s="26"/>
      <c r="D18" s="120"/>
      <c r="E18" s="2469">
        <v>1.84E-2</v>
      </c>
      <c r="F18" s="121"/>
      <c r="G18" s="19"/>
      <c r="L18" s="354"/>
    </row>
    <row r="19" spans="1:12" ht="15.5">
      <c r="A19" s="354"/>
      <c r="B19" s="18" t="s">
        <v>36</v>
      </c>
      <c r="C19" s="26"/>
      <c r="D19" s="120"/>
      <c r="E19" s="18"/>
      <c r="F19" s="28">
        <f>ROUND(E17*E18,6)</f>
        <v>7.0799999999999997E-4</v>
      </c>
      <c r="G19" s="19"/>
      <c r="L19" s="354"/>
    </row>
    <row r="20" spans="1:12" ht="15.5">
      <c r="A20" s="354"/>
      <c r="B20" s="18"/>
      <c r="C20" s="26"/>
      <c r="D20" s="120"/>
      <c r="E20" s="26"/>
      <c r="F20" s="28"/>
      <c r="G20" s="19"/>
      <c r="L20" s="354"/>
    </row>
    <row r="21" spans="1:12" ht="15.5">
      <c r="A21" s="354"/>
      <c r="B21" s="1624" t="s">
        <v>971</v>
      </c>
      <c r="C21" s="1624"/>
      <c r="D21" s="120"/>
      <c r="E21" s="2469">
        <v>7.4999999999999997E-3</v>
      </c>
      <c r="F21" s="28"/>
      <c r="G21" s="19"/>
      <c r="L21" s="354"/>
    </row>
    <row r="22" spans="1:12" ht="15.5">
      <c r="A22" s="354"/>
      <c r="B22" s="18" t="s">
        <v>340</v>
      </c>
      <c r="C22" s="120"/>
      <c r="D22" s="120"/>
      <c r="E22" s="2469">
        <v>0.39069999999999999</v>
      </c>
      <c r="F22" s="28"/>
      <c r="G22" s="19"/>
      <c r="L22" s="354"/>
    </row>
    <row r="23" spans="1:12" ht="15.5">
      <c r="A23" s="354"/>
      <c r="B23" s="18" t="s">
        <v>36</v>
      </c>
      <c r="C23" s="120"/>
      <c r="D23" s="120"/>
      <c r="E23" s="122"/>
      <c r="F23" s="28">
        <f>ROUND(E21*E22,6)</f>
        <v>2.9299999999999999E-3</v>
      </c>
      <c r="G23" s="19"/>
      <c r="L23" s="354"/>
    </row>
    <row r="24" spans="1:12" ht="15.5">
      <c r="A24" s="354"/>
      <c r="B24" s="18"/>
      <c r="C24" s="26"/>
      <c r="D24" s="26"/>
      <c r="E24" s="18"/>
      <c r="F24" s="28"/>
      <c r="G24" s="19"/>
      <c r="L24" s="354"/>
    </row>
    <row r="25" spans="1:12" ht="15.5">
      <c r="A25" s="354"/>
      <c r="B25" s="1624" t="s">
        <v>974</v>
      </c>
      <c r="C25" s="1624"/>
      <c r="D25" s="120"/>
      <c r="E25" s="1625">
        <v>0</v>
      </c>
      <c r="F25" s="28"/>
      <c r="G25" s="19"/>
      <c r="L25" s="354"/>
    </row>
    <row r="26" spans="1:12" ht="15.5">
      <c r="A26" s="354"/>
      <c r="B26" s="18" t="s">
        <v>340</v>
      </c>
      <c r="C26" s="120"/>
      <c r="D26" s="120"/>
      <c r="E26" s="1625">
        <v>0</v>
      </c>
      <c r="F26" s="28"/>
      <c r="G26" s="19"/>
      <c r="L26" s="354"/>
    </row>
    <row r="27" spans="1:12" ht="15.5">
      <c r="A27" s="354"/>
      <c r="B27" s="18" t="s">
        <v>36</v>
      </c>
      <c r="C27" s="120"/>
      <c r="D27" s="120"/>
      <c r="E27" s="122"/>
      <c r="F27" s="28">
        <f>ROUND(E25*E26,6)</f>
        <v>0</v>
      </c>
      <c r="G27" s="19"/>
      <c r="L27" s="354"/>
    </row>
    <row r="28" spans="1:12" ht="15.5">
      <c r="A28" s="354"/>
      <c r="B28" s="18"/>
      <c r="C28" s="26"/>
      <c r="D28" s="26"/>
      <c r="E28" s="18"/>
      <c r="F28" s="28"/>
      <c r="G28" s="19"/>
      <c r="L28" s="354"/>
    </row>
    <row r="29" spans="1:12" ht="16" thickBot="1">
      <c r="A29" s="354"/>
      <c r="B29" s="18" t="s">
        <v>341</v>
      </c>
      <c r="C29" s="26"/>
      <c r="D29" s="26"/>
      <c r="E29" s="18"/>
      <c r="F29" s="50">
        <f>+ROUND(SUM(F10:F28),4)</f>
        <v>4.2000000000000003E-2</v>
      </c>
      <c r="G29" s="19"/>
      <c r="I29" s="1626"/>
      <c r="L29" s="354"/>
    </row>
    <row r="30" spans="1:12" ht="13.5" thickTop="1">
      <c r="A30" s="354"/>
      <c r="G30" s="19"/>
      <c r="L30" s="354"/>
    </row>
    <row r="31" spans="1:12" ht="15.5">
      <c r="A31" s="354"/>
      <c r="B31" s="187"/>
      <c r="G31" s="19"/>
      <c r="L31" s="354"/>
    </row>
    <row r="32" spans="1:12" ht="15.5">
      <c r="A32" s="354"/>
      <c r="B32" s="18"/>
      <c r="G32" s="19"/>
      <c r="L32" s="354"/>
    </row>
    <row r="33" spans="1:13" ht="15.5">
      <c r="A33" s="354"/>
      <c r="B33" s="18"/>
      <c r="G33" s="19"/>
      <c r="L33" s="354"/>
    </row>
    <row r="34" spans="1:13" ht="18">
      <c r="A34" s="185" t="s">
        <v>311</v>
      </c>
      <c r="B34" s="35" t="s">
        <v>360</v>
      </c>
      <c r="C34" s="18"/>
      <c r="D34" s="18"/>
      <c r="E34" s="18"/>
      <c r="F34" s="18"/>
    </row>
    <row r="35" spans="1:13" ht="18">
      <c r="C35" s="35"/>
      <c r="I35" s="2362" t="s">
        <v>502</v>
      </c>
      <c r="J35" s="2362"/>
      <c r="K35" s="2362"/>
      <c r="L35" s="18"/>
    </row>
    <row r="36" spans="1:13" ht="15.5">
      <c r="I36" s="18"/>
      <c r="J36" s="18"/>
      <c r="K36" s="18"/>
      <c r="L36" s="18"/>
    </row>
    <row r="37" spans="1:13" ht="15.5">
      <c r="I37" s="47" t="s">
        <v>37</v>
      </c>
      <c r="J37" s="47"/>
      <c r="K37" s="47" t="s">
        <v>38</v>
      </c>
      <c r="L37" s="18"/>
    </row>
    <row r="38" spans="1:13" ht="15.5">
      <c r="A38" s="47" t="s">
        <v>153</v>
      </c>
      <c r="B38" s="495" t="str">
        <f>"REVENUE REQUIREMENT BEFORE TEXAS GROSS MARGIN TAX (TCOS ln "&amp;'SWEPCO TCOS'!B191&amp;") "</f>
        <v xml:space="preserve">REVENUE REQUIREMENT BEFORE TEXAS GROSS MARGIN TAX (TCOS ln 116) </v>
      </c>
      <c r="I38" s="189">
        <f>+'SWEPCO TCOS'!G188</f>
        <v>941829546.49820638</v>
      </c>
      <c r="J38" s="18"/>
      <c r="K38" s="189">
        <f>+'SWEPCO TCOS'!L188</f>
        <v>307657749.88072556</v>
      </c>
      <c r="L38" s="18"/>
    </row>
    <row r="39" spans="1:13" ht="15.5">
      <c r="A39" s="18"/>
      <c r="B39" s="495"/>
      <c r="I39" s="18"/>
      <c r="J39" s="18"/>
      <c r="K39" s="18"/>
      <c r="L39" s="18"/>
    </row>
    <row r="40" spans="1:13" ht="15.5">
      <c r="A40" s="47">
        <v>1</v>
      </c>
      <c r="B40" s="495" t="str">
        <f>"Apportionment Factor to Texas (ln"&amp;A53&amp;")"</f>
        <v>Apportionment Factor to Texas (ln12)</v>
      </c>
      <c r="I40" s="1627">
        <f>+$E53</f>
        <v>0.43687623629877959</v>
      </c>
      <c r="J40" s="18"/>
      <c r="K40" s="1627">
        <f>+$E53</f>
        <v>0.43687623629877959</v>
      </c>
      <c r="L40" s="18"/>
    </row>
    <row r="41" spans="1:13" ht="15.5">
      <c r="A41" s="47">
        <f t="shared" ref="A41:A46" si="0">+A40+1</f>
        <v>2</v>
      </c>
      <c r="B41" s="495" t="s">
        <v>39</v>
      </c>
      <c r="I41" s="496">
        <f>+I38*I40</f>
        <v>411462947.50912285</v>
      </c>
      <c r="J41" s="18"/>
      <c r="K41" s="496">
        <f>+K38*K40</f>
        <v>134408359.8360427</v>
      </c>
      <c r="L41" s="18"/>
    </row>
    <row r="42" spans="1:13" ht="15.5">
      <c r="A42" s="47">
        <f t="shared" si="0"/>
        <v>3</v>
      </c>
      <c r="B42" s="495" t="s">
        <v>669</v>
      </c>
      <c r="I42" s="192">
        <v>0.13597918350365104</v>
      </c>
      <c r="J42" s="18"/>
      <c r="K42" s="1628">
        <f>+I42</f>
        <v>0.13597918350365104</v>
      </c>
      <c r="L42" s="18"/>
      <c r="M42"/>
    </row>
    <row r="43" spans="1:13" ht="15.5">
      <c r="A43" s="47">
        <f t="shared" si="0"/>
        <v>4</v>
      </c>
      <c r="B43" s="495" t="s">
        <v>40</v>
      </c>
      <c r="I43" s="1629">
        <f>+I41*I42</f>
        <v>55950395.644296154</v>
      </c>
      <c r="J43" s="18"/>
      <c r="K43" s="1629">
        <f>+K41*K42</f>
        <v>18276739.026570011</v>
      </c>
      <c r="L43" s="18"/>
      <c r="M43"/>
    </row>
    <row r="44" spans="1:13" ht="15.5">
      <c r="A44" s="47">
        <f t="shared" si="0"/>
        <v>5</v>
      </c>
      <c r="B44" s="495" t="s">
        <v>670</v>
      </c>
      <c r="I44" s="191">
        <v>7.4999999999999997E-3</v>
      </c>
      <c r="J44" s="18"/>
      <c r="K44" s="1628">
        <f>+I44</f>
        <v>7.4999999999999997E-3</v>
      </c>
      <c r="L44" s="18"/>
      <c r="M44"/>
    </row>
    <row r="45" spans="1:13" ht="15.5">
      <c r="A45" s="47">
        <f t="shared" si="0"/>
        <v>6</v>
      </c>
      <c r="B45" s="495" t="s">
        <v>41</v>
      </c>
      <c r="I45" s="582">
        <f>+I43*I44</f>
        <v>419627.96733222116</v>
      </c>
      <c r="J45" s="18"/>
      <c r="K45" s="582">
        <f>+K43*K44</f>
        <v>137075.54269927507</v>
      </c>
      <c r="L45" s="18"/>
    </row>
    <row r="46" spans="1:13" ht="15.5">
      <c r="A46" s="47">
        <f t="shared" si="0"/>
        <v>7</v>
      </c>
      <c r="B46" s="497" t="s">
        <v>42</v>
      </c>
      <c r="I46" s="595">
        <f>+ROUND((I45*I42*I40)/(1-I44)*I44,0)</f>
        <v>188</v>
      </c>
      <c r="J46" s="18"/>
      <c r="K46" s="595">
        <f>+ROUND((K45*K42*K40)/(1-K44)*K44,0)</f>
        <v>62</v>
      </c>
      <c r="L46" s="18"/>
    </row>
    <row r="47" spans="1:13" ht="15.5">
      <c r="A47" s="47"/>
      <c r="B47" s="497"/>
      <c r="D47" s="1630" t="str">
        <f>"   ((ln "&amp;A45&amp;" * ln "&amp;A42&amp;" * ln "&amp;A40&amp;")/(1- ln "&amp;A44&amp;") * ln "&amp;A44&amp;")"</f>
        <v xml:space="preserve">   ((ln 6 * ln 3 * ln 1)/(1- ln 5) * ln 5)</v>
      </c>
      <c r="I47" s="595"/>
      <c r="J47" s="18"/>
      <c r="K47" s="595"/>
      <c r="L47" s="18"/>
    </row>
    <row r="48" spans="1:13" ht="15.5">
      <c r="A48" s="47">
        <f>+A46+1</f>
        <v>8</v>
      </c>
      <c r="B48" s="497" t="s">
        <v>31</v>
      </c>
      <c r="I48" s="1631">
        <f>+I45+I46</f>
        <v>419815.96733222116</v>
      </c>
      <c r="J48" s="18"/>
      <c r="K48" s="1631">
        <f>+K45+K46</f>
        <v>137137.54269927507</v>
      </c>
      <c r="L48" s="18"/>
    </row>
    <row r="49" spans="1:12" ht="15.5">
      <c r="A49" s="47"/>
      <c r="I49" s="18"/>
      <c r="J49" s="18"/>
      <c r="K49" s="18"/>
      <c r="L49" s="18"/>
    </row>
    <row r="50" spans="1:12" ht="15.5">
      <c r="A50" s="47">
        <f>+A48+1</f>
        <v>9</v>
      </c>
      <c r="B50" s="495" t="s">
        <v>43</v>
      </c>
      <c r="C50" s="579"/>
      <c r="D50" s="570"/>
      <c r="E50" s="497"/>
    </row>
    <row r="51" spans="1:12" ht="15.5">
      <c r="A51" s="47">
        <f>+A50+1</f>
        <v>10</v>
      </c>
      <c r="B51" s="495" t="s">
        <v>44</v>
      </c>
      <c r="C51" s="579"/>
      <c r="D51" s="570"/>
      <c r="E51" s="2149">
        <v>1336435.8983333334</v>
      </c>
      <c r="F51" s="286" t="s">
        <v>1</v>
      </c>
      <c r="G51"/>
    </row>
    <row r="52" spans="1:12" ht="15.5">
      <c r="A52" s="47">
        <f>+A51+1</f>
        <v>11</v>
      </c>
      <c r="B52" s="495" t="s">
        <v>45</v>
      </c>
      <c r="C52" s="579"/>
      <c r="D52" s="570"/>
      <c r="E52" s="2149">
        <v>3059072.0833333335</v>
      </c>
      <c r="F52" s="286" t="s">
        <v>1</v>
      </c>
      <c r="G52"/>
    </row>
    <row r="53" spans="1:12" ht="15.5">
      <c r="A53" s="47">
        <f>+A52+1</f>
        <v>12</v>
      </c>
      <c r="B53" s="495" t="s">
        <v>46</v>
      </c>
      <c r="C53" s="579" t="str">
        <f>"(ln "&amp;A51&amp;" / ln "&amp;A52&amp;")"</f>
        <v>(ln 10 / ln 11)</v>
      </c>
      <c r="D53" s="570"/>
      <c r="E53" s="1632">
        <f>IF(E52=0,0,E51/E52)</f>
        <v>0.43687623629877959</v>
      </c>
      <c r="G53"/>
    </row>
  </sheetData>
  <mergeCells count="5">
    <mergeCell ref="A2:H2"/>
    <mergeCell ref="A3:H3"/>
    <mergeCell ref="A4:H4"/>
    <mergeCell ref="A5:G5"/>
    <mergeCell ref="I35:K35"/>
  </mergeCells>
  <printOptions horizontalCentered="1"/>
  <pageMargins left="0.25" right="0.25" top="1" bottom="0.25" header="0.25" footer="0.5"/>
  <pageSetup scale="65" orientation="landscape" horizontalDpi="1200" verticalDpi="1200" r:id="rId1"/>
  <headerFooter alignWithMargins="0">
    <oddHeader xml:space="preserve">&amp;R&amp;12AEP - SPP Formula Rate
TCOS - WS K
Page: &amp;P of &amp;N
</oddHeader>
    <oddFooter xml:space="preserve">&amp;C &amp;R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AC195"/>
  <sheetViews>
    <sheetView showGridLines="0" topLeftCell="A36" zoomScale="60" zoomScaleNormal="60" zoomScaleSheetLayoutView="75" zoomScalePageLayoutView="90" workbookViewId="0">
      <selection activeCell="G46" sqref="G46"/>
    </sheetView>
  </sheetViews>
  <sheetFormatPr defaultColWidth="9.1796875" defaultRowHeight="12.5"/>
  <cols>
    <col min="1" max="1" width="7.453125" style="1652" customWidth="1"/>
    <col min="2" max="2" width="1.54296875" style="1633" customWidth="1"/>
    <col min="3" max="3" width="77" style="1633" customWidth="1"/>
    <col min="4" max="4" width="1.54296875" style="1633" customWidth="1"/>
    <col min="5" max="5" width="20.453125" style="1634" customWidth="1"/>
    <col min="6" max="6" width="1.54296875" style="1633" customWidth="1"/>
    <col min="7" max="7" width="20" style="1633" bestFit="1" customWidth="1"/>
    <col min="8" max="8" width="1.54296875" style="1633" customWidth="1"/>
    <col min="9" max="9" width="21.453125" style="1633" customWidth="1"/>
    <col min="10" max="10" width="1.54296875" style="1633" customWidth="1"/>
    <col min="11" max="11" width="17.54296875" style="1633" bestFit="1" customWidth="1"/>
    <col min="12" max="12" width="3.453125" style="1633" customWidth="1"/>
    <col min="13" max="13" width="21.453125" style="1633" bestFit="1" customWidth="1"/>
    <col min="14" max="14" width="1.54296875" style="1633" hidden="1" customWidth="1"/>
    <col min="15" max="15" width="22.1796875" style="1633" customWidth="1"/>
    <col min="16" max="17" width="9.1796875" style="1633"/>
    <col min="18" max="18" width="22.81640625" style="1633" bestFit="1" customWidth="1"/>
    <col min="19" max="20" width="9.1796875" style="1633"/>
    <col min="21" max="21" width="13" style="1633" customWidth="1"/>
    <col min="22" max="16384" width="9.1796875" style="1633"/>
  </cols>
  <sheetData>
    <row r="1" spans="1:29" ht="15.5">
      <c r="A1" s="209"/>
    </row>
    <row r="2" spans="1:29" ht="18.75" customHeight="1">
      <c r="A2" s="2284" t="str">
        <f>+'SWEPCO TCOS'!F4</f>
        <v xml:space="preserve">AEP West SPP Member Operating Companies </v>
      </c>
      <c r="B2" s="2284"/>
      <c r="C2" s="2284"/>
      <c r="D2" s="2284"/>
      <c r="E2" s="2284"/>
      <c r="F2" s="2284"/>
      <c r="G2" s="2284"/>
      <c r="H2" s="2284"/>
      <c r="I2" s="2284"/>
      <c r="J2" s="2284"/>
      <c r="K2" s="2284"/>
      <c r="L2" s="2284"/>
      <c r="M2" s="2284"/>
    </row>
    <row r="3" spans="1:29" ht="18.75" customHeight="1">
      <c r="A3" s="2402" t="str">
        <f>+'SWEPCO WS A-1 - Plant'!A3</f>
        <v xml:space="preserve">Actual / Projected 2024 Rate Year Cost of Service Formula Rate </v>
      </c>
      <c r="B3" s="2402"/>
      <c r="C3" s="2402"/>
      <c r="D3" s="2402"/>
      <c r="E3" s="2402"/>
      <c r="F3" s="2402"/>
      <c r="G3" s="2402"/>
      <c r="H3" s="2402"/>
      <c r="I3" s="2402"/>
      <c r="J3" s="2402"/>
      <c r="K3" s="2402"/>
      <c r="L3" s="2402"/>
      <c r="M3" s="2402"/>
    </row>
    <row r="4" spans="1:29" ht="18.75" customHeight="1">
      <c r="A4" s="2403" t="s">
        <v>115</v>
      </c>
      <c r="B4" s="2402"/>
      <c r="C4" s="2402"/>
      <c r="D4" s="2402"/>
      <c r="E4" s="2402"/>
      <c r="F4" s="2402"/>
      <c r="G4" s="2402"/>
      <c r="H4" s="2402"/>
      <c r="I4" s="2402"/>
      <c r="J4" s="2402"/>
      <c r="K4" s="2402"/>
      <c r="L4" s="2402"/>
      <c r="M4" s="2402"/>
    </row>
    <row r="5" spans="1:29" ht="18" customHeight="1">
      <c r="A5" s="2285" t="str">
        <f>+'SWEPCO TCOS'!F8</f>
        <v>SOUTHWESTERN ELECTRIC POWER COMPANY</v>
      </c>
      <c r="B5" s="2285"/>
      <c r="C5" s="2285"/>
      <c r="D5" s="2285"/>
      <c r="E5" s="2285"/>
      <c r="F5" s="2285"/>
      <c r="G5" s="2285"/>
      <c r="H5" s="2285"/>
      <c r="I5" s="2285"/>
      <c r="J5" s="2285"/>
      <c r="K5" s="2285"/>
      <c r="L5" s="2285"/>
      <c r="M5" s="2285"/>
    </row>
    <row r="6" spans="1:29" ht="18" customHeight="1">
      <c r="A6" s="2364"/>
      <c r="B6" s="2364"/>
      <c r="C6" s="2364"/>
      <c r="D6" s="2364"/>
      <c r="E6" s="2364"/>
      <c r="F6" s="2364"/>
      <c r="G6" s="2364"/>
      <c r="H6" s="2364"/>
      <c r="I6" s="2364"/>
      <c r="J6" s="2364"/>
      <c r="K6" s="2364"/>
      <c r="L6" s="2364"/>
      <c r="M6" s="2364"/>
    </row>
    <row r="7" spans="1:29" ht="18" customHeight="1">
      <c r="A7" s="2363"/>
      <c r="B7" s="2363"/>
      <c r="C7" s="2363"/>
      <c r="D7" s="2363"/>
      <c r="E7" s="2363"/>
      <c r="F7" s="2363"/>
      <c r="G7" s="2363"/>
      <c r="H7" s="2363"/>
      <c r="I7" s="2363"/>
      <c r="J7" s="2363"/>
      <c r="K7" s="2363"/>
      <c r="L7" s="2363"/>
      <c r="M7" s="2363"/>
    </row>
    <row r="8" spans="1:29" ht="18" customHeight="1">
      <c r="A8" s="88"/>
      <c r="B8" s="88"/>
      <c r="C8" s="88"/>
      <c r="D8" s="88"/>
      <c r="E8" s="88"/>
      <c r="F8" s="88"/>
      <c r="G8" s="88"/>
      <c r="H8" s="88"/>
      <c r="I8" s="88"/>
      <c r="J8" s="88"/>
      <c r="K8" s="88"/>
      <c r="L8" s="88"/>
      <c r="M8" s="88"/>
    </row>
    <row r="9" spans="1:29" ht="19.5" customHeight="1">
      <c r="A9" s="90"/>
      <c r="B9" s="45"/>
      <c r="C9" s="25" t="s">
        <v>301</v>
      </c>
      <c r="E9" s="25" t="s">
        <v>302</v>
      </c>
      <c r="G9" s="25" t="s">
        <v>303</v>
      </c>
      <c r="I9" s="25" t="s">
        <v>304</v>
      </c>
      <c r="K9" s="25" t="s">
        <v>229</v>
      </c>
      <c r="M9" s="25" t="s">
        <v>230</v>
      </c>
    </row>
    <row r="10" spans="1:29" ht="18">
      <c r="A10" s="91"/>
      <c r="B10" s="92"/>
      <c r="C10" s="92"/>
      <c r="D10" s="92"/>
      <c r="E10" s="286"/>
      <c r="F10" s="286"/>
      <c r="G10" s="286"/>
      <c r="H10" s="286"/>
      <c r="I10" s="286"/>
      <c r="J10" s="286"/>
      <c r="K10" s="286"/>
      <c r="L10" s="286"/>
      <c r="M10" s="286"/>
      <c r="Q10" s="47"/>
      <c r="R10" s="47"/>
      <c r="S10" s="47"/>
      <c r="T10" s="47"/>
      <c r="U10" s="47"/>
      <c r="V10" s="47"/>
      <c r="W10" s="47"/>
      <c r="X10" s="47"/>
      <c r="Y10" s="47"/>
      <c r="Z10" s="47"/>
      <c r="AA10" s="47"/>
      <c r="AB10" s="47"/>
      <c r="AC10" s="47"/>
    </row>
    <row r="11" spans="1:29" ht="18">
      <c r="A11" s="91" t="s">
        <v>308</v>
      </c>
      <c r="B11" s="92"/>
      <c r="C11" s="92"/>
      <c r="D11" s="92"/>
      <c r="E11" s="93" t="s">
        <v>258</v>
      </c>
      <c r="F11" s="91"/>
      <c r="G11" s="91"/>
      <c r="H11" s="91"/>
      <c r="I11" s="91"/>
      <c r="J11" s="91"/>
      <c r="K11" s="94"/>
      <c r="L11" s="94"/>
      <c r="M11" s="95"/>
    </row>
    <row r="12" spans="1:29" ht="18">
      <c r="A12" s="96" t="s">
        <v>257</v>
      </c>
      <c r="B12" s="92"/>
      <c r="C12" s="96" t="s">
        <v>390</v>
      </c>
      <c r="D12" s="92"/>
      <c r="E12" s="97" t="s">
        <v>320</v>
      </c>
      <c r="F12" s="91"/>
      <c r="G12" s="96" t="s">
        <v>391</v>
      </c>
      <c r="H12" s="91"/>
      <c r="I12" s="96" t="s">
        <v>300</v>
      </c>
      <c r="J12" s="91"/>
      <c r="K12" s="98" t="s">
        <v>318</v>
      </c>
      <c r="L12" s="99"/>
      <c r="M12" s="98" t="s">
        <v>392</v>
      </c>
    </row>
    <row r="13" spans="1:29" ht="17.5">
      <c r="A13" s="90"/>
      <c r="B13" s="45"/>
      <c r="C13" s="100"/>
      <c r="D13" s="100"/>
      <c r="E13" s="100"/>
      <c r="F13" s="100"/>
      <c r="G13" s="100"/>
      <c r="H13" s="100"/>
      <c r="I13" s="100"/>
      <c r="J13" s="100"/>
      <c r="K13" s="37"/>
      <c r="L13" s="37"/>
    </row>
    <row r="14" spans="1:29" ht="17.5">
      <c r="A14" s="90"/>
      <c r="B14" s="45"/>
      <c r="C14" s="1635"/>
      <c r="D14" s="45"/>
      <c r="E14" s="1636"/>
      <c r="F14" s="45"/>
      <c r="G14" s="45"/>
      <c r="H14" s="45"/>
      <c r="I14" s="1636"/>
      <c r="J14" s="45"/>
      <c r="K14" s="37"/>
      <c r="L14" s="37"/>
    </row>
    <row r="15" spans="1:29" ht="17.5">
      <c r="A15" s="90">
        <v>1</v>
      </c>
      <c r="B15" s="45"/>
      <c r="C15" s="101" t="s">
        <v>395</v>
      </c>
      <c r="D15" s="45"/>
      <c r="E15" s="37"/>
      <c r="F15" s="37"/>
      <c r="G15" s="102"/>
      <c r="H15" s="102"/>
      <c r="I15" s="102"/>
      <c r="J15" s="102"/>
      <c r="K15" s="102"/>
      <c r="L15" s="102"/>
      <c r="M15" s="102"/>
    </row>
    <row r="16" spans="1:29" ht="17.5">
      <c r="A16" s="90">
        <f>+A15+1</f>
        <v>2</v>
      </c>
      <c r="B16" s="45"/>
      <c r="C16" s="1637" t="s">
        <v>975</v>
      </c>
      <c r="D16" s="45"/>
      <c r="E16" s="1637">
        <f>7968111+7</f>
        <v>7968118</v>
      </c>
      <c r="F16" s="37"/>
      <c r="G16" s="1637"/>
      <c r="H16" s="1637"/>
      <c r="I16" s="1637"/>
      <c r="J16" s="1637"/>
      <c r="K16" s="1637"/>
      <c r="L16" s="1637"/>
      <c r="M16" s="1637">
        <f>+E16</f>
        <v>7968118</v>
      </c>
    </row>
    <row r="17" spans="1:25" ht="17.5">
      <c r="A17" s="90"/>
      <c r="B17" s="45"/>
      <c r="C17" s="94"/>
      <c r="D17" s="45"/>
      <c r="E17" s="37"/>
      <c r="F17" s="37"/>
      <c r="G17" s="37"/>
      <c r="H17" s="37"/>
      <c r="I17" s="37"/>
      <c r="J17" s="37"/>
      <c r="K17" s="37"/>
      <c r="L17" s="37"/>
      <c r="M17" s="37"/>
      <c r="O17" s="1638"/>
    </row>
    <row r="18" spans="1:25" ht="17.5">
      <c r="A18" s="90">
        <f>A16+1</f>
        <v>3</v>
      </c>
      <c r="B18" s="45"/>
      <c r="C18" s="101" t="s">
        <v>396</v>
      </c>
      <c r="D18" s="45"/>
      <c r="E18" s="1639"/>
      <c r="F18" s="457"/>
      <c r="G18" s="1639"/>
      <c r="H18" s="1639"/>
      <c r="I18" s="1639"/>
      <c r="J18" s="1639"/>
      <c r="K18" s="1639"/>
      <c r="L18" s="1639"/>
      <c r="M18" s="1639"/>
      <c r="O18"/>
    </row>
    <row r="19" spans="1:25" ht="17.5">
      <c r="A19" s="90">
        <f>+A18+1</f>
        <v>4</v>
      </c>
      <c r="B19" s="45"/>
      <c r="C19" s="1637" t="s">
        <v>976</v>
      </c>
      <c r="D19" s="45"/>
      <c r="E19" s="1637">
        <f>30+4874087</f>
        <v>4874117</v>
      </c>
      <c r="F19" s="45"/>
      <c r="G19" s="1637">
        <f>+E19</f>
        <v>4874117</v>
      </c>
      <c r="H19" s="1637"/>
      <c r="I19" s="1637"/>
      <c r="J19" s="1637"/>
      <c r="K19" s="1637"/>
      <c r="L19" s="1637"/>
      <c r="M19" s="1637"/>
      <c r="O19"/>
      <c r="P19" s="286"/>
      <c r="Q19" s="286"/>
      <c r="R19" s="286"/>
      <c r="S19" s="286"/>
      <c r="T19" s="286"/>
      <c r="U19" s="286"/>
      <c r="V19" s="286"/>
      <c r="W19" s="286"/>
      <c r="X19" s="286"/>
      <c r="Y19" s="286"/>
    </row>
    <row r="20" spans="1:25" ht="17.5">
      <c r="A20" s="90">
        <f>+A19+1</f>
        <v>5</v>
      </c>
      <c r="B20" s="45"/>
      <c r="C20" s="1637" t="s">
        <v>977</v>
      </c>
      <c r="D20" s="45"/>
      <c r="E20" s="1637">
        <f>17520594</f>
        <v>17520594</v>
      </c>
      <c r="F20" s="37"/>
      <c r="G20" s="1637">
        <f>+E20</f>
        <v>17520594</v>
      </c>
      <c r="H20" s="1637"/>
      <c r="I20" s="1637"/>
      <c r="J20" s="1637"/>
      <c r="K20" s="1637"/>
      <c r="L20" s="1637"/>
      <c r="M20" s="1637"/>
      <c r="O20"/>
      <c r="P20" s="286"/>
      <c r="Q20" s="286"/>
      <c r="R20" s="286"/>
      <c r="S20" s="286"/>
      <c r="T20" s="286"/>
      <c r="U20" s="286"/>
      <c r="V20" s="286"/>
      <c r="W20" s="286"/>
      <c r="X20" s="286"/>
      <c r="Y20" s="286"/>
    </row>
    <row r="21" spans="1:25" ht="17.5">
      <c r="A21" s="90">
        <f>+A20+1</f>
        <v>6</v>
      </c>
      <c r="B21" s="45"/>
      <c r="C21" s="1640" t="s">
        <v>978</v>
      </c>
      <c r="D21" s="45"/>
      <c r="E21" s="1640">
        <f>44712005+1</f>
        <v>44712006</v>
      </c>
      <c r="F21" s="45"/>
      <c r="G21" s="1637">
        <f>+E21</f>
        <v>44712006</v>
      </c>
      <c r="H21" s="1637"/>
      <c r="I21" s="1637"/>
      <c r="J21" s="1637"/>
      <c r="K21" s="1637"/>
      <c r="L21" s="1637"/>
      <c r="M21" s="1641"/>
      <c r="O21"/>
      <c r="P21" s="286"/>
      <c r="Q21" s="286"/>
      <c r="R21" s="286"/>
      <c r="S21" s="286"/>
      <c r="T21" s="286"/>
      <c r="U21" s="286"/>
      <c r="V21" s="286"/>
      <c r="W21" s="286"/>
      <c r="X21" s="286"/>
      <c r="Y21" s="286"/>
    </row>
    <row r="22" spans="1:25" ht="17.5">
      <c r="A22" s="90">
        <f>+A21+1</f>
        <v>7</v>
      </c>
      <c r="B22" s="45"/>
      <c r="C22" s="1637" t="s">
        <v>979</v>
      </c>
      <c r="D22" s="45"/>
      <c r="E22" s="1637">
        <f>476506+18273552</f>
        <v>18750058</v>
      </c>
      <c r="F22" s="37"/>
      <c r="G22" s="1637">
        <f>+E22</f>
        <v>18750058</v>
      </c>
      <c r="H22" s="1637"/>
      <c r="I22" s="1637"/>
      <c r="J22" s="1637"/>
      <c r="K22" s="1637"/>
      <c r="L22" s="1637"/>
      <c r="M22" s="1637"/>
      <c r="O22"/>
      <c r="P22" s="286"/>
      <c r="Q22" s="286"/>
      <c r="R22" s="286"/>
      <c r="S22" s="286"/>
      <c r="T22" s="286"/>
      <c r="U22" s="286"/>
      <c r="V22" s="286"/>
      <c r="W22" s="286"/>
      <c r="X22" s="286"/>
      <c r="Y22" s="286"/>
    </row>
    <row r="23" spans="1:25" ht="17.5">
      <c r="A23" s="90"/>
      <c r="B23" s="45"/>
      <c r="C23" s="94"/>
      <c r="D23" s="45"/>
      <c r="E23" s="37"/>
      <c r="F23" s="37"/>
      <c r="G23" s="37"/>
      <c r="H23" s="37"/>
      <c r="I23" s="37"/>
      <c r="J23" s="37"/>
      <c r="K23" s="37"/>
      <c r="L23" s="37"/>
      <c r="M23" s="37"/>
      <c r="O23"/>
      <c r="P23" s="286"/>
      <c r="Q23" s="286"/>
      <c r="R23" s="286"/>
      <c r="S23" s="286"/>
      <c r="T23" s="286"/>
      <c r="U23" s="286"/>
      <c r="V23" s="286"/>
      <c r="W23" s="286"/>
      <c r="X23" s="286"/>
      <c r="Y23" s="286"/>
    </row>
    <row r="24" spans="1:25" ht="17.5">
      <c r="A24" s="90">
        <f>22+1</f>
        <v>23</v>
      </c>
      <c r="B24" s="45"/>
      <c r="C24" s="101" t="s">
        <v>397</v>
      </c>
      <c r="D24" s="45"/>
      <c r="E24" s="37"/>
      <c r="F24" s="37"/>
      <c r="G24" s="37"/>
      <c r="H24" s="37"/>
      <c r="I24" s="37"/>
      <c r="J24" s="37"/>
      <c r="K24" s="37"/>
      <c r="L24" s="37"/>
      <c r="M24" s="37"/>
      <c r="O24" s="286"/>
      <c r="P24" s="286"/>
      <c r="Q24" s="286"/>
      <c r="R24" s="286"/>
      <c r="S24" s="286"/>
      <c r="T24" s="286"/>
      <c r="U24" s="286"/>
      <c r="V24" s="286"/>
      <c r="W24" s="286"/>
      <c r="X24" s="286"/>
      <c r="Y24" s="286"/>
    </row>
    <row r="25" spans="1:25" ht="17.5">
      <c r="A25" s="90">
        <f>+A24+1</f>
        <v>24</v>
      </c>
      <c r="B25" s="45"/>
      <c r="C25" s="1637" t="s">
        <v>980</v>
      </c>
      <c r="D25" s="45"/>
      <c r="E25" s="1637">
        <v>7234370</v>
      </c>
      <c r="F25" s="37"/>
      <c r="G25" s="1637"/>
      <c r="H25" s="1637"/>
      <c r="I25" s="1637">
        <f>+E25</f>
        <v>7234370</v>
      </c>
      <c r="J25" s="1637"/>
      <c r="K25" s="1637"/>
      <c r="L25" s="1637"/>
      <c r="M25" s="1637"/>
      <c r="O25" s="286"/>
      <c r="P25" s="286"/>
      <c r="Q25" s="286"/>
      <c r="R25" s="286"/>
      <c r="S25" s="286"/>
      <c r="T25" s="286"/>
      <c r="U25" s="286"/>
      <c r="V25" s="286"/>
      <c r="W25" s="286"/>
      <c r="X25" s="286"/>
      <c r="Y25" s="286"/>
    </row>
    <row r="26" spans="1:25" ht="17.5">
      <c r="A26" s="90">
        <f>+A25+1</f>
        <v>25</v>
      </c>
      <c r="B26" s="45"/>
      <c r="C26" s="1637" t="s">
        <v>981</v>
      </c>
      <c r="D26" s="45"/>
      <c r="E26" s="1637">
        <v>39532</v>
      </c>
      <c r="F26" s="37"/>
      <c r="G26" s="1637"/>
      <c r="H26" s="1637"/>
      <c r="I26" s="1637">
        <f>+E26</f>
        <v>39532</v>
      </c>
      <c r="J26" s="1637"/>
      <c r="K26" s="1637"/>
      <c r="L26" s="1637"/>
      <c r="M26" s="1637"/>
      <c r="O26" s="286"/>
      <c r="P26" s="286"/>
      <c r="Q26" s="286"/>
      <c r="R26" s="286"/>
      <c r="S26" s="286"/>
      <c r="T26" s="286"/>
      <c r="U26" s="286"/>
      <c r="V26" s="286"/>
      <c r="W26" s="286"/>
      <c r="X26" s="286"/>
      <c r="Y26" s="286"/>
    </row>
    <row r="27" spans="1:25" ht="17.5">
      <c r="A27" s="90">
        <f>+A26+1</f>
        <v>26</v>
      </c>
      <c r="B27" s="45"/>
      <c r="C27" s="1637" t="s">
        <v>982</v>
      </c>
      <c r="D27" s="45"/>
      <c r="E27" s="1637">
        <f>3080+2717+1782+37383+9</f>
        <v>44971</v>
      </c>
      <c r="F27" s="37"/>
      <c r="G27" s="1637"/>
      <c r="H27" s="1637"/>
      <c r="I27" s="1637">
        <f>+E27</f>
        <v>44971</v>
      </c>
      <c r="J27" s="1637"/>
      <c r="K27" s="1637"/>
      <c r="L27" s="1637"/>
      <c r="M27" s="1637"/>
      <c r="O27" s="286"/>
      <c r="P27" s="286"/>
      <c r="Q27" s="286"/>
      <c r="R27" s="286"/>
      <c r="S27" s="286"/>
      <c r="T27" s="286"/>
      <c r="U27" s="286"/>
      <c r="V27" s="286"/>
      <c r="W27" s="286"/>
      <c r="X27" s="286"/>
      <c r="Y27" s="286"/>
    </row>
    <row r="28" spans="1:25" ht="17.5">
      <c r="A28" s="90" t="s">
        <v>254</v>
      </c>
      <c r="B28" s="45"/>
      <c r="C28" s="37"/>
      <c r="D28" s="45"/>
      <c r="E28" s="37"/>
      <c r="F28" s="37"/>
      <c r="G28" s="37"/>
      <c r="H28" s="37"/>
      <c r="I28" s="37"/>
      <c r="J28" s="37"/>
      <c r="K28" s="37"/>
      <c r="L28" s="37"/>
      <c r="M28" s="37"/>
      <c r="O28" s="286"/>
      <c r="P28" s="286"/>
      <c r="Q28" s="286"/>
      <c r="R28" s="286"/>
      <c r="S28" s="286"/>
      <c r="T28" s="286"/>
      <c r="U28" s="286"/>
      <c r="V28" s="286"/>
      <c r="W28" s="286"/>
      <c r="X28" s="286"/>
      <c r="Y28" s="286"/>
    </row>
    <row r="29" spans="1:25" ht="17.5">
      <c r="A29" s="90">
        <f>27+1</f>
        <v>28</v>
      </c>
      <c r="B29" s="45"/>
      <c r="C29" s="101" t="s">
        <v>62</v>
      </c>
      <c r="D29" s="45"/>
      <c r="E29" s="37"/>
      <c r="F29" s="37"/>
      <c r="G29" s="37"/>
      <c r="H29" s="37"/>
      <c r="I29" s="37"/>
      <c r="J29" s="37"/>
      <c r="K29" s="37"/>
      <c r="L29" s="37"/>
      <c r="M29" s="37"/>
      <c r="O29" s="286"/>
      <c r="P29" s="286"/>
      <c r="Q29" s="286"/>
      <c r="R29" s="286"/>
      <c r="S29" s="286"/>
      <c r="T29" s="286"/>
      <c r="U29" s="286"/>
      <c r="V29" s="286"/>
      <c r="W29" s="286"/>
      <c r="X29" s="286"/>
      <c r="Y29" s="286"/>
    </row>
    <row r="30" spans="1:25" ht="17.5">
      <c r="A30" s="90">
        <f>A29+1</f>
        <v>29</v>
      </c>
      <c r="B30" s="45"/>
      <c r="C30" s="712"/>
      <c r="D30" s="45"/>
      <c r="E30" s="1637"/>
      <c r="F30" s="37"/>
      <c r="G30" s="1637"/>
      <c r="H30" s="1637"/>
      <c r="I30" s="1637"/>
      <c r="J30" s="1637"/>
      <c r="K30" s="1637"/>
      <c r="L30" s="1637"/>
      <c r="M30" s="1637"/>
      <c r="O30" s="286"/>
      <c r="P30" s="286"/>
      <c r="Q30" s="286"/>
      <c r="R30" s="286"/>
      <c r="S30" s="286"/>
      <c r="T30" s="286"/>
      <c r="U30" s="286"/>
      <c r="V30" s="286"/>
      <c r="W30" s="286"/>
      <c r="X30" s="286"/>
      <c r="Y30" s="286"/>
    </row>
    <row r="31" spans="1:25" ht="17.5">
      <c r="A31" s="90">
        <f>A30+1</f>
        <v>30</v>
      </c>
      <c r="B31" s="45"/>
      <c r="C31" s="712"/>
      <c r="D31" s="45"/>
      <c r="E31" s="1637"/>
      <c r="F31" s="37"/>
      <c r="G31" s="1637"/>
      <c r="H31" s="1637"/>
      <c r="I31" s="1637"/>
      <c r="J31" s="1637"/>
      <c r="K31" s="1637"/>
      <c r="L31" s="1637"/>
      <c r="M31" s="1637"/>
      <c r="O31" s="286"/>
      <c r="P31" s="286"/>
      <c r="Q31" s="286"/>
      <c r="R31" s="286"/>
      <c r="S31" s="286"/>
      <c r="T31" s="286"/>
      <c r="U31" s="286"/>
      <c r="V31" s="286"/>
      <c r="W31" s="286"/>
      <c r="X31" s="286"/>
      <c r="Y31" s="286"/>
    </row>
    <row r="32" spans="1:25" ht="17.5">
      <c r="A32" s="90"/>
      <c r="B32" s="45"/>
      <c r="C32" s="37"/>
      <c r="D32" s="45"/>
      <c r="E32" s="37"/>
      <c r="F32" s="37"/>
      <c r="G32" s="37"/>
      <c r="H32" s="37"/>
      <c r="I32" s="37"/>
      <c r="J32" s="37"/>
      <c r="K32" s="37"/>
      <c r="L32" s="37"/>
      <c r="M32" s="37"/>
      <c r="O32" s="286"/>
      <c r="P32" s="286"/>
      <c r="Q32" s="286"/>
      <c r="R32" s="286"/>
      <c r="S32" s="286"/>
      <c r="T32" s="286"/>
      <c r="U32" s="286"/>
      <c r="V32" s="286"/>
      <c r="W32" s="286"/>
      <c r="X32" s="286"/>
      <c r="Y32" s="286"/>
    </row>
    <row r="33" spans="1:19" ht="17.5">
      <c r="A33" s="67">
        <f>31+1</f>
        <v>32</v>
      </c>
      <c r="B33" s="68"/>
      <c r="C33" s="101" t="s">
        <v>394</v>
      </c>
      <c r="D33" s="69"/>
      <c r="E33" s="37"/>
      <c r="F33" s="37"/>
      <c r="G33" s="37"/>
      <c r="H33" s="37"/>
      <c r="I33" s="37"/>
      <c r="J33" s="37"/>
      <c r="K33" s="37"/>
      <c r="L33" s="37"/>
      <c r="M33" s="37"/>
    </row>
    <row r="34" spans="1:19" ht="17.5">
      <c r="A34" s="67">
        <f t="shared" ref="A34:A58" si="0">A33+1</f>
        <v>33</v>
      </c>
      <c r="B34" s="68"/>
      <c r="C34" s="201" t="s">
        <v>983</v>
      </c>
      <c r="D34" s="45"/>
      <c r="E34" s="1637">
        <v>32462</v>
      </c>
      <c r="F34" s="37"/>
      <c r="G34" s="2191"/>
      <c r="H34" s="2191"/>
      <c r="I34" s="2191"/>
      <c r="J34" s="2191"/>
      <c r="K34" s="2191"/>
      <c r="L34" s="2191"/>
      <c r="M34" s="2191">
        <f>+E34</f>
        <v>32462</v>
      </c>
    </row>
    <row r="35" spans="1:19" ht="17.5">
      <c r="A35" s="67">
        <f t="shared" si="0"/>
        <v>34</v>
      </c>
      <c r="B35" s="68"/>
      <c r="C35" s="201" t="s">
        <v>984</v>
      </c>
      <c r="D35" s="45"/>
      <c r="E35" s="1637">
        <v>5237851</v>
      </c>
      <c r="F35" s="37"/>
      <c r="G35" s="2191"/>
      <c r="H35" s="2191"/>
      <c r="I35" s="2191"/>
      <c r="J35" s="2191"/>
      <c r="K35" s="2191">
        <f t="shared" ref="K35:K44" si="1">E35</f>
        <v>5237851</v>
      </c>
      <c r="L35" s="2191"/>
      <c r="M35" s="2191"/>
      <c r="O35"/>
    </row>
    <row r="36" spans="1:19" ht="17.5">
      <c r="A36" s="67">
        <f t="shared" si="0"/>
        <v>35</v>
      </c>
      <c r="B36" s="68"/>
      <c r="C36" s="201" t="s">
        <v>985</v>
      </c>
      <c r="D36" s="45"/>
      <c r="E36" s="2191">
        <v>0</v>
      </c>
      <c r="F36" s="37"/>
      <c r="G36" s="2191"/>
      <c r="H36" s="2191"/>
      <c r="I36" s="2191"/>
      <c r="J36" s="2191"/>
      <c r="K36" s="2191">
        <f t="shared" si="1"/>
        <v>0</v>
      </c>
      <c r="L36" s="2191"/>
      <c r="M36" s="2191"/>
      <c r="O36"/>
    </row>
    <row r="37" spans="1:19" ht="17.5">
      <c r="A37" s="67">
        <f t="shared" si="0"/>
        <v>36</v>
      </c>
      <c r="B37" s="68"/>
      <c r="C37" s="201" t="s">
        <v>986</v>
      </c>
      <c r="D37" s="45"/>
      <c r="E37" s="2191">
        <v>0</v>
      </c>
      <c r="F37" s="37"/>
      <c r="G37" s="2191"/>
      <c r="H37" s="2191"/>
      <c r="I37" s="2191"/>
      <c r="J37" s="2191"/>
      <c r="K37" s="2191">
        <f t="shared" si="1"/>
        <v>0</v>
      </c>
      <c r="L37" s="2191"/>
      <c r="M37" s="2191"/>
      <c r="O37"/>
    </row>
    <row r="38" spans="1:19" ht="17.5">
      <c r="A38" s="67">
        <f t="shared" si="0"/>
        <v>37</v>
      </c>
      <c r="B38" s="68"/>
      <c r="C38" s="201" t="s">
        <v>987</v>
      </c>
      <c r="D38" s="45"/>
      <c r="E38" s="1637">
        <v>20100</v>
      </c>
      <c r="F38" s="37"/>
      <c r="G38" s="2191"/>
      <c r="H38" s="2191"/>
      <c r="I38" s="2191"/>
      <c r="J38" s="2191"/>
      <c r="K38" s="2191">
        <f t="shared" si="1"/>
        <v>20100</v>
      </c>
      <c r="L38" s="2191"/>
      <c r="M38" s="2191"/>
    </row>
    <row r="39" spans="1:19" ht="17.5">
      <c r="A39" s="67">
        <f t="shared" si="0"/>
        <v>38</v>
      </c>
      <c r="B39" s="68"/>
      <c r="C39" s="201" t="s">
        <v>988</v>
      </c>
      <c r="D39" s="45"/>
      <c r="E39" s="2238">
        <v>0</v>
      </c>
      <c r="F39" s="37"/>
      <c r="G39" s="2191"/>
      <c r="H39" s="2191"/>
      <c r="I39" s="2191"/>
      <c r="J39" s="2191"/>
      <c r="K39" s="2191">
        <f t="shared" si="1"/>
        <v>0</v>
      </c>
      <c r="L39" s="2191"/>
      <c r="M39" s="2191"/>
    </row>
    <row r="40" spans="1:19" ht="17.5">
      <c r="A40" s="67">
        <f t="shared" si="0"/>
        <v>39</v>
      </c>
      <c r="B40" s="68"/>
      <c r="C40" s="201" t="s">
        <v>989</v>
      </c>
      <c r="D40" s="45"/>
      <c r="E40" s="2238">
        <v>0</v>
      </c>
      <c r="F40" s="37"/>
      <c r="G40" s="2191"/>
      <c r="H40" s="2191"/>
      <c r="I40" s="2191"/>
      <c r="J40" s="2191"/>
      <c r="K40" s="2191">
        <f t="shared" si="1"/>
        <v>0</v>
      </c>
      <c r="L40" s="2191"/>
      <c r="M40" s="2191"/>
    </row>
    <row r="41" spans="1:19" ht="17.5">
      <c r="A41" s="67">
        <f t="shared" si="0"/>
        <v>40</v>
      </c>
      <c r="B41" s="68"/>
      <c r="C41" s="201" t="s">
        <v>990</v>
      </c>
      <c r="D41" s="45"/>
      <c r="E41" s="2238">
        <v>0</v>
      </c>
      <c r="F41" s="37"/>
      <c r="G41" s="2191"/>
      <c r="H41" s="2191"/>
      <c r="I41" s="2191"/>
      <c r="J41" s="2191"/>
      <c r="K41" s="2191">
        <f t="shared" si="1"/>
        <v>0</v>
      </c>
      <c r="L41" s="2191"/>
      <c r="M41" s="2191"/>
      <c r="O41"/>
    </row>
    <row r="42" spans="1:19" ht="17.5">
      <c r="A42" s="67">
        <f t="shared" si="0"/>
        <v>41</v>
      </c>
      <c r="B42" s="45"/>
      <c r="C42" s="201" t="s">
        <v>991</v>
      </c>
      <c r="D42" s="45"/>
      <c r="E42" s="2238">
        <v>0</v>
      </c>
      <c r="F42" s="37"/>
      <c r="G42" s="2191"/>
      <c r="H42" s="2191"/>
      <c r="I42" s="2191"/>
      <c r="J42" s="2191"/>
      <c r="K42" s="2191">
        <f t="shared" si="1"/>
        <v>0</v>
      </c>
      <c r="L42" s="2191"/>
      <c r="M42" s="2191"/>
      <c r="O42"/>
    </row>
    <row r="43" spans="1:19" ht="17.5">
      <c r="A43" s="67">
        <f t="shared" si="0"/>
        <v>42</v>
      </c>
      <c r="B43" s="45"/>
      <c r="C43" s="201" t="s">
        <v>984</v>
      </c>
      <c r="D43" s="45"/>
      <c r="E43" s="2238">
        <v>0</v>
      </c>
      <c r="F43" s="37"/>
      <c r="G43" s="2191"/>
      <c r="H43" s="2191"/>
      <c r="I43" s="2191"/>
      <c r="J43" s="2191"/>
      <c r="K43" s="2191">
        <f t="shared" si="1"/>
        <v>0</v>
      </c>
      <c r="L43" s="2191"/>
      <c r="M43" s="2191"/>
      <c r="O43"/>
    </row>
    <row r="44" spans="1:19" ht="17.5">
      <c r="A44" s="67">
        <f t="shared" si="0"/>
        <v>43</v>
      </c>
      <c r="B44" s="45"/>
      <c r="C44" s="201" t="s">
        <v>992</v>
      </c>
      <c r="D44" s="45"/>
      <c r="E44" s="2238">
        <v>0</v>
      </c>
      <c r="F44" s="37"/>
      <c r="G44" s="2191"/>
      <c r="H44" s="2191"/>
      <c r="I44" s="2191"/>
      <c r="J44" s="2191"/>
      <c r="K44" s="2191">
        <f t="shared" si="1"/>
        <v>0</v>
      </c>
      <c r="L44" s="2191"/>
      <c r="M44" s="2191"/>
      <c r="O44"/>
    </row>
    <row r="45" spans="1:19" ht="17.5">
      <c r="A45" s="67">
        <f t="shared" si="0"/>
        <v>44</v>
      </c>
      <c r="B45" s="45"/>
      <c r="C45" s="201" t="s">
        <v>993</v>
      </c>
      <c r="D45" s="45"/>
      <c r="E45" s="2238">
        <v>8765734</v>
      </c>
      <c r="F45" s="37"/>
      <c r="G45" s="2191"/>
      <c r="H45" s="2191"/>
      <c r="I45" s="2191"/>
      <c r="J45" s="2191"/>
      <c r="K45" s="2191"/>
      <c r="L45" s="2191"/>
      <c r="M45" s="2191">
        <f t="shared" ref="M45:M53" si="2">+E45</f>
        <v>8765734</v>
      </c>
      <c r="O45"/>
      <c r="R45" s="2231"/>
      <c r="S45" s="45"/>
    </row>
    <row r="46" spans="1:19" ht="17.5">
      <c r="A46" s="67">
        <f t="shared" si="0"/>
        <v>45</v>
      </c>
      <c r="B46" s="45"/>
      <c r="C46" s="201" t="s">
        <v>994</v>
      </c>
      <c r="D46" s="45"/>
      <c r="E46" s="2238">
        <v>0</v>
      </c>
      <c r="F46" s="37"/>
      <c r="G46" s="2191"/>
      <c r="H46" s="2191"/>
      <c r="I46" s="2191"/>
      <c r="J46" s="2191"/>
      <c r="K46" s="2191"/>
      <c r="L46" s="2191"/>
      <c r="M46" s="2191">
        <f t="shared" si="2"/>
        <v>0</v>
      </c>
      <c r="O46"/>
      <c r="R46" s="2231"/>
      <c r="S46" s="45"/>
    </row>
    <row r="47" spans="1:19" ht="17.5">
      <c r="A47" s="67">
        <f t="shared" si="0"/>
        <v>46</v>
      </c>
      <c r="B47" s="45"/>
      <c r="C47" s="201" t="s">
        <v>995</v>
      </c>
      <c r="D47" s="45"/>
      <c r="E47" s="2238">
        <v>9768818</v>
      </c>
      <c r="F47" s="37"/>
      <c r="G47" s="2191"/>
      <c r="H47" s="2191"/>
      <c r="I47" s="2191"/>
      <c r="J47" s="2191"/>
      <c r="K47" s="2191"/>
      <c r="L47" s="2191"/>
      <c r="M47" s="2191">
        <f t="shared" si="2"/>
        <v>9768818</v>
      </c>
      <c r="O47"/>
      <c r="R47" s="2231"/>
      <c r="S47" s="45"/>
    </row>
    <row r="48" spans="1:19" ht="17.5">
      <c r="A48" s="67">
        <f t="shared" si="0"/>
        <v>47</v>
      </c>
      <c r="B48" s="45"/>
      <c r="C48" s="201" t="s">
        <v>996</v>
      </c>
      <c r="D48" s="45"/>
      <c r="E48" s="2238">
        <v>551</v>
      </c>
      <c r="F48" s="37"/>
      <c r="G48" s="2191"/>
      <c r="H48" s="2191"/>
      <c r="I48" s="2191"/>
      <c r="J48" s="2191"/>
      <c r="K48" s="2191"/>
      <c r="L48" s="2191"/>
      <c r="M48" s="2191">
        <f t="shared" si="2"/>
        <v>551</v>
      </c>
      <c r="O48"/>
    </row>
    <row r="49" spans="1:19" ht="17.5">
      <c r="A49" s="67">
        <f t="shared" si="0"/>
        <v>48</v>
      </c>
      <c r="B49" s="45"/>
      <c r="C49" s="201" t="s">
        <v>997</v>
      </c>
      <c r="D49" s="45"/>
      <c r="E49" s="2238">
        <v>-22</v>
      </c>
      <c r="F49" s="37"/>
      <c r="G49" s="2191"/>
      <c r="H49" s="2191"/>
      <c r="I49" s="2191"/>
      <c r="J49" s="2191"/>
      <c r="K49" s="2191"/>
      <c r="L49" s="2191"/>
      <c r="M49" s="2191">
        <f t="shared" si="2"/>
        <v>-22</v>
      </c>
      <c r="O49"/>
      <c r="R49" s="2231"/>
      <c r="S49" s="45"/>
    </row>
    <row r="50" spans="1:19" ht="17.5">
      <c r="A50" s="67">
        <f t="shared" si="0"/>
        <v>49</v>
      </c>
      <c r="B50" s="45"/>
      <c r="C50" s="201" t="s">
        <v>998</v>
      </c>
      <c r="D50" s="45"/>
      <c r="E50" s="2238">
        <v>0</v>
      </c>
      <c r="F50" s="37"/>
      <c r="G50" s="2191"/>
      <c r="H50" s="2191"/>
      <c r="I50" s="2191"/>
      <c r="J50" s="2191"/>
      <c r="K50" s="2191"/>
      <c r="L50" s="2191"/>
      <c r="M50" s="2191">
        <f t="shared" si="2"/>
        <v>0</v>
      </c>
      <c r="O50"/>
    </row>
    <row r="51" spans="1:19" ht="17.5">
      <c r="A51" s="67">
        <f t="shared" si="0"/>
        <v>50</v>
      </c>
      <c r="B51" s="45"/>
      <c r="C51" s="201" t="s">
        <v>999</v>
      </c>
      <c r="D51" s="45"/>
      <c r="E51" s="2238">
        <v>1</v>
      </c>
      <c r="F51" s="37"/>
      <c r="G51" s="2191"/>
      <c r="H51" s="2191"/>
      <c r="I51" s="2191"/>
      <c r="J51" s="2191"/>
      <c r="K51" s="2191"/>
      <c r="L51" s="2191"/>
      <c r="M51" s="2191">
        <f t="shared" si="2"/>
        <v>1</v>
      </c>
      <c r="O51"/>
      <c r="R51" s="2232"/>
      <c r="S51" s="45"/>
    </row>
    <row r="52" spans="1:19" ht="17.5">
      <c r="A52" s="67">
        <f t="shared" si="0"/>
        <v>51</v>
      </c>
      <c r="B52" s="45"/>
      <c r="C52" s="201" t="s">
        <v>1000</v>
      </c>
      <c r="D52" s="45"/>
      <c r="E52" s="2238">
        <v>-130628</v>
      </c>
      <c r="F52" s="37"/>
      <c r="G52" s="2191"/>
      <c r="H52" s="2191"/>
      <c r="I52" s="2191"/>
      <c r="J52" s="2191"/>
      <c r="K52" s="2191"/>
      <c r="L52" s="2191"/>
      <c r="M52" s="2191">
        <f t="shared" si="2"/>
        <v>-130628</v>
      </c>
      <c r="O52"/>
    </row>
    <row r="53" spans="1:19" ht="17.5">
      <c r="A53" s="67">
        <f t="shared" si="0"/>
        <v>52</v>
      </c>
      <c r="B53" s="45"/>
      <c r="C53" s="201" t="s">
        <v>1001</v>
      </c>
      <c r="D53" s="45"/>
      <c r="E53" s="2238"/>
      <c r="F53" s="37"/>
      <c r="G53" s="2191"/>
      <c r="H53" s="2191"/>
      <c r="I53" s="2191"/>
      <c r="J53" s="2191"/>
      <c r="K53" s="2191"/>
      <c r="L53" s="2191"/>
      <c r="M53" s="2191">
        <f t="shared" si="2"/>
        <v>0</v>
      </c>
      <c r="O53"/>
    </row>
    <row r="54" spans="1:19" ht="17.5">
      <c r="A54" s="90">
        <f t="shared" si="0"/>
        <v>53</v>
      </c>
      <c r="B54" s="45"/>
      <c r="C54" s="201" t="s">
        <v>1002</v>
      </c>
      <c r="D54" s="45"/>
      <c r="E54" s="2238"/>
      <c r="F54" s="37"/>
      <c r="G54" s="2191"/>
      <c r="H54" s="2191"/>
      <c r="I54" s="2191"/>
      <c r="J54" s="2191"/>
      <c r="K54" s="2191">
        <f t="shared" ref="K54:K58" si="3">+E54</f>
        <v>0</v>
      </c>
      <c r="L54" s="2191"/>
      <c r="M54" s="2191"/>
      <c r="O54"/>
    </row>
    <row r="55" spans="1:19" ht="17.5">
      <c r="A55" s="90">
        <f t="shared" si="0"/>
        <v>54</v>
      </c>
      <c r="B55" s="45"/>
      <c r="C55" s="201" t="s">
        <v>1003</v>
      </c>
      <c r="D55" s="45"/>
      <c r="E55" s="2238">
        <v>88725</v>
      </c>
      <c r="F55" s="37"/>
      <c r="G55" s="2191"/>
      <c r="H55" s="2191"/>
      <c r="I55" s="2191"/>
      <c r="J55" s="2191"/>
      <c r="K55" s="2191">
        <f t="shared" si="3"/>
        <v>88725</v>
      </c>
      <c r="L55" s="2191"/>
      <c r="M55" s="2191"/>
      <c r="O55"/>
    </row>
    <row r="56" spans="1:19" ht="17.5">
      <c r="A56" s="90">
        <f t="shared" si="0"/>
        <v>55</v>
      </c>
      <c r="B56" s="37"/>
      <c r="C56" s="1637" t="s">
        <v>1004</v>
      </c>
      <c r="D56" s="45"/>
      <c r="E56" s="2238"/>
      <c r="F56" s="37"/>
      <c r="G56" s="2191"/>
      <c r="H56" s="2191"/>
      <c r="I56" s="2191"/>
      <c r="J56" s="2191"/>
      <c r="K56" s="2191"/>
      <c r="L56" s="2191"/>
      <c r="M56" s="2191">
        <f t="shared" ref="M56:M57" si="4">+E56</f>
        <v>0</v>
      </c>
      <c r="O56"/>
    </row>
    <row r="57" spans="1:19" ht="17.5">
      <c r="A57" s="90">
        <f t="shared" si="0"/>
        <v>56</v>
      </c>
      <c r="B57" s="37"/>
      <c r="C57" s="1640" t="s">
        <v>1005</v>
      </c>
      <c r="D57" s="1642"/>
      <c r="E57" s="1637"/>
      <c r="F57" s="45"/>
      <c r="G57" s="2191"/>
      <c r="H57" s="2191"/>
      <c r="I57" s="2191"/>
      <c r="J57" s="2191"/>
      <c r="K57" s="2191"/>
      <c r="L57" s="2191"/>
      <c r="M57" s="2191">
        <f t="shared" si="4"/>
        <v>0</v>
      </c>
      <c r="O57"/>
    </row>
    <row r="58" spans="1:19" ht="17.5">
      <c r="A58" s="90">
        <f t="shared" si="0"/>
        <v>57</v>
      </c>
      <c r="B58" s="37"/>
      <c r="C58" s="1637" t="s">
        <v>1532</v>
      </c>
      <c r="D58" s="45"/>
      <c r="E58" s="1637"/>
      <c r="F58" s="37"/>
      <c r="G58" s="2191"/>
      <c r="H58" s="2191"/>
      <c r="I58" s="2191"/>
      <c r="J58" s="2191"/>
      <c r="K58" s="2191">
        <f t="shared" si="3"/>
        <v>0</v>
      </c>
      <c r="L58" s="2191"/>
      <c r="M58" s="2191"/>
    </row>
    <row r="59" spans="1:19" ht="16.5">
      <c r="A59" s="286"/>
      <c r="B59" s="286"/>
      <c r="C59" s="286"/>
      <c r="D59" s="286"/>
      <c r="E59" s="286"/>
      <c r="F59" s="37"/>
      <c r="H59" s="1643"/>
      <c r="I59" s="1644"/>
      <c r="J59" s="1644"/>
      <c r="K59" s="1645"/>
      <c r="L59" s="1646"/>
      <c r="M59" s="1646"/>
    </row>
    <row r="60" spans="1:19" ht="18" thickBot="1">
      <c r="A60" s="67">
        <f>+A58+1</f>
        <v>58</v>
      </c>
      <c r="B60" s="286"/>
      <c r="C60" s="37" t="s">
        <v>393</v>
      </c>
      <c r="D60" s="286"/>
      <c r="E60" s="1647">
        <f>SUM(E16:E58)</f>
        <v>124927358</v>
      </c>
      <c r="F60" s="37"/>
      <c r="G60" s="1647">
        <f>SUM(G16:G58)</f>
        <v>85856775</v>
      </c>
      <c r="H60" s="1643"/>
      <c r="I60" s="1647">
        <f>SUM(I16:I58)</f>
        <v>7318873</v>
      </c>
      <c r="J60" s="1644"/>
      <c r="K60" s="1647">
        <f>SUM(K16:K58)</f>
        <v>5346676</v>
      </c>
      <c r="L60" s="1646"/>
      <c r="M60" s="1647">
        <f>SUM(M16:M58)</f>
        <v>26405034</v>
      </c>
    </row>
    <row r="61" spans="1:19" ht="30" customHeight="1" thickTop="1">
      <c r="A61" s="286"/>
      <c r="B61" s="286"/>
      <c r="C61" s="106" t="s">
        <v>140</v>
      </c>
      <c r="D61" s="446"/>
      <c r="E61" s="1826"/>
      <c r="F61" s="106"/>
      <c r="G61" s="1648"/>
      <c r="H61" s="1648"/>
      <c r="J61" s="1649"/>
      <c r="K61" s="1650"/>
      <c r="L61" s="1650"/>
      <c r="M61" s="1651" t="str">
        <f>IF(SUM(G60:M60)=E60,"","Error - allocations don’t match total")</f>
        <v/>
      </c>
    </row>
    <row r="62" spans="1:19">
      <c r="E62"/>
    </row>
    <row r="63" spans="1:19" ht="13">
      <c r="C63" s="70" t="str">
        <f>"NOTE:  As a check, the difference between the total from Ln "&amp;A60&amp;" above and the total on FF1 p.263 line 41(i)"</f>
        <v>NOTE:  As a check, the difference between the total from Ln 58 above and the total on FF1 p.263 line 41(i)</v>
      </c>
      <c r="G63" s="1792"/>
    </row>
    <row r="64" spans="1:19" ht="13">
      <c r="C64" s="70" t="s">
        <v>117</v>
      </c>
      <c r="I64" s="1792"/>
      <c r="K64" s="1336"/>
    </row>
    <row r="65" spans="7:11">
      <c r="G65" s="1792"/>
      <c r="K65" s="1336"/>
    </row>
    <row r="66" spans="7:11">
      <c r="I66" s="1634"/>
      <c r="K66" s="1336"/>
    </row>
    <row r="67" spans="7:11">
      <c r="K67" s="1336"/>
    </row>
    <row r="68" spans="7:11">
      <c r="K68" s="1336"/>
    </row>
    <row r="69" spans="7:11">
      <c r="K69" s="1336"/>
    </row>
    <row r="70" spans="7:11">
      <c r="K70" s="1336"/>
    </row>
    <row r="194" spans="7:7" ht="13" thickBot="1"/>
    <row r="195" spans="7:7" ht="17" thickBot="1">
      <c r="G195" s="1653"/>
    </row>
  </sheetData>
  <mergeCells count="6">
    <mergeCell ref="A7:M7"/>
    <mergeCell ref="A2:M2"/>
    <mergeCell ref="A3:M3"/>
    <mergeCell ref="A4:M4"/>
    <mergeCell ref="A5:M5"/>
    <mergeCell ref="A6:M6"/>
  </mergeCells>
  <printOptions horizontalCentered="1"/>
  <pageMargins left="0.75" right="0.75" top="1" bottom="0.25" header="0.65" footer="0.5"/>
  <pageSetup scale="10" orientation="portrait" horizontalDpi="1200" verticalDpi="1200" r:id="rId1"/>
  <headerFooter alignWithMargins="0">
    <oddHeader xml:space="preserve">&amp;R&amp;12AEP - SPP Formula Rate
TCOS - WS L
Page: &amp;P of &amp;N&amp;16
</oddHeader>
  </headerFooter>
  <colBreaks count="1" manualBreakCount="1">
    <brk id="14"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W147"/>
  <sheetViews>
    <sheetView topLeftCell="A46" zoomScale="90" zoomScaleNormal="90" zoomScaleSheetLayoutView="80" zoomScalePageLayoutView="85" workbookViewId="0">
      <selection activeCell="E51" sqref="E51"/>
    </sheetView>
  </sheetViews>
  <sheetFormatPr defaultColWidth="11.453125" defaultRowHeight="13"/>
  <cols>
    <col min="1" max="1" width="10.453125" style="247" customWidth="1"/>
    <col min="2" max="2" width="52.453125" style="214" customWidth="1"/>
    <col min="3" max="7" width="20.453125" style="214" customWidth="1"/>
    <col min="8" max="8" width="23" style="214" customWidth="1"/>
    <col min="9" max="11" width="20.453125" style="214" customWidth="1"/>
    <col min="12" max="12" width="20" style="214" customWidth="1"/>
    <col min="13" max="14" width="15.1796875" style="214" customWidth="1"/>
    <col min="15" max="256" width="11.453125" style="214"/>
    <col min="257" max="257" width="10.453125" style="214" customWidth="1"/>
    <col min="258" max="258" width="52.453125" style="214" customWidth="1"/>
    <col min="259" max="263" width="20.453125" style="214" customWidth="1"/>
    <col min="264" max="264" width="23" style="214" customWidth="1"/>
    <col min="265" max="267" width="20.453125" style="214" customWidth="1"/>
    <col min="268" max="268" width="20" style="214" customWidth="1"/>
    <col min="269" max="270" width="15.1796875" style="214" customWidth="1"/>
    <col min="271" max="512" width="11.453125" style="214"/>
    <col min="513" max="513" width="10.453125" style="214" customWidth="1"/>
    <col min="514" max="514" width="52.453125" style="214" customWidth="1"/>
    <col min="515" max="519" width="20.453125" style="214" customWidth="1"/>
    <col min="520" max="520" width="23" style="214" customWidth="1"/>
    <col min="521" max="523" width="20.453125" style="214" customWidth="1"/>
    <col min="524" max="524" width="20" style="214" customWidth="1"/>
    <col min="525" max="526" width="15.1796875" style="214" customWidth="1"/>
    <col min="527" max="768" width="11.453125" style="214"/>
    <col min="769" max="769" width="10.453125" style="214" customWidth="1"/>
    <col min="770" max="770" width="52.453125" style="214" customWidth="1"/>
    <col min="771" max="775" width="20.453125" style="214" customWidth="1"/>
    <col min="776" max="776" width="23" style="214" customWidth="1"/>
    <col min="777" max="779" width="20.453125" style="214" customWidth="1"/>
    <col min="780" max="780" width="20" style="214" customWidth="1"/>
    <col min="781" max="782" width="15.1796875" style="214" customWidth="1"/>
    <col min="783" max="1024" width="11.453125" style="214"/>
    <col min="1025" max="1025" width="10.453125" style="214" customWidth="1"/>
    <col min="1026" max="1026" width="52.453125" style="214" customWidth="1"/>
    <col min="1027" max="1031" width="20.453125" style="214" customWidth="1"/>
    <col min="1032" max="1032" width="23" style="214" customWidth="1"/>
    <col min="1033" max="1035" width="20.453125" style="214" customWidth="1"/>
    <col min="1036" max="1036" width="20" style="214" customWidth="1"/>
    <col min="1037" max="1038" width="15.1796875" style="214" customWidth="1"/>
    <col min="1039" max="1280" width="11.453125" style="214"/>
    <col min="1281" max="1281" width="10.453125" style="214" customWidth="1"/>
    <col min="1282" max="1282" width="52.453125" style="214" customWidth="1"/>
    <col min="1283" max="1287" width="20.453125" style="214" customWidth="1"/>
    <col min="1288" max="1288" width="23" style="214" customWidth="1"/>
    <col min="1289" max="1291" width="20.453125" style="214" customWidth="1"/>
    <col min="1292" max="1292" width="20" style="214" customWidth="1"/>
    <col min="1293" max="1294" width="15.1796875" style="214" customWidth="1"/>
    <col min="1295" max="1536" width="11.453125" style="214"/>
    <col min="1537" max="1537" width="10.453125" style="214" customWidth="1"/>
    <col min="1538" max="1538" width="52.453125" style="214" customWidth="1"/>
    <col min="1539" max="1543" width="20.453125" style="214" customWidth="1"/>
    <col min="1544" max="1544" width="23" style="214" customWidth="1"/>
    <col min="1545" max="1547" width="20.453125" style="214" customWidth="1"/>
    <col min="1548" max="1548" width="20" style="214" customWidth="1"/>
    <col min="1549" max="1550" width="15.1796875" style="214" customWidth="1"/>
    <col min="1551" max="1792" width="11.453125" style="214"/>
    <col min="1793" max="1793" width="10.453125" style="214" customWidth="1"/>
    <col min="1794" max="1794" width="52.453125" style="214" customWidth="1"/>
    <col min="1795" max="1799" width="20.453125" style="214" customWidth="1"/>
    <col min="1800" max="1800" width="23" style="214" customWidth="1"/>
    <col min="1801" max="1803" width="20.453125" style="214" customWidth="1"/>
    <col min="1804" max="1804" width="20" style="214" customWidth="1"/>
    <col min="1805" max="1806" width="15.1796875" style="214" customWidth="1"/>
    <col min="1807" max="2048" width="11.453125" style="214"/>
    <col min="2049" max="2049" width="10.453125" style="214" customWidth="1"/>
    <col min="2050" max="2050" width="52.453125" style="214" customWidth="1"/>
    <col min="2051" max="2055" width="20.453125" style="214" customWidth="1"/>
    <col min="2056" max="2056" width="23" style="214" customWidth="1"/>
    <col min="2057" max="2059" width="20.453125" style="214" customWidth="1"/>
    <col min="2060" max="2060" width="20" style="214" customWidth="1"/>
    <col min="2061" max="2062" width="15.1796875" style="214" customWidth="1"/>
    <col min="2063" max="2304" width="11.453125" style="214"/>
    <col min="2305" max="2305" width="10.453125" style="214" customWidth="1"/>
    <col min="2306" max="2306" width="52.453125" style="214" customWidth="1"/>
    <col min="2307" max="2311" width="20.453125" style="214" customWidth="1"/>
    <col min="2312" max="2312" width="23" style="214" customWidth="1"/>
    <col min="2313" max="2315" width="20.453125" style="214" customWidth="1"/>
    <col min="2316" max="2316" width="20" style="214" customWidth="1"/>
    <col min="2317" max="2318" width="15.1796875" style="214" customWidth="1"/>
    <col min="2319" max="2560" width="11.453125" style="214"/>
    <col min="2561" max="2561" width="10.453125" style="214" customWidth="1"/>
    <col min="2562" max="2562" width="52.453125" style="214" customWidth="1"/>
    <col min="2563" max="2567" width="20.453125" style="214" customWidth="1"/>
    <col min="2568" max="2568" width="23" style="214" customWidth="1"/>
    <col min="2569" max="2571" width="20.453125" style="214" customWidth="1"/>
    <col min="2572" max="2572" width="20" style="214" customWidth="1"/>
    <col min="2573" max="2574" width="15.1796875" style="214" customWidth="1"/>
    <col min="2575" max="2816" width="11.453125" style="214"/>
    <col min="2817" max="2817" width="10.453125" style="214" customWidth="1"/>
    <col min="2818" max="2818" width="52.453125" style="214" customWidth="1"/>
    <col min="2819" max="2823" width="20.453125" style="214" customWidth="1"/>
    <col min="2824" max="2824" width="23" style="214" customWidth="1"/>
    <col min="2825" max="2827" width="20.453125" style="214" customWidth="1"/>
    <col min="2828" max="2828" width="20" style="214" customWidth="1"/>
    <col min="2829" max="2830" width="15.1796875" style="214" customWidth="1"/>
    <col min="2831" max="3072" width="11.453125" style="214"/>
    <col min="3073" max="3073" width="10.453125" style="214" customWidth="1"/>
    <col min="3074" max="3074" width="52.453125" style="214" customWidth="1"/>
    <col min="3075" max="3079" width="20.453125" style="214" customWidth="1"/>
    <col min="3080" max="3080" width="23" style="214" customWidth="1"/>
    <col min="3081" max="3083" width="20.453125" style="214" customWidth="1"/>
    <col min="3084" max="3084" width="20" style="214" customWidth="1"/>
    <col min="3085" max="3086" width="15.1796875" style="214" customWidth="1"/>
    <col min="3087" max="3328" width="11.453125" style="214"/>
    <col min="3329" max="3329" width="10.453125" style="214" customWidth="1"/>
    <col min="3330" max="3330" width="52.453125" style="214" customWidth="1"/>
    <col min="3331" max="3335" width="20.453125" style="214" customWidth="1"/>
    <col min="3336" max="3336" width="23" style="214" customWidth="1"/>
    <col min="3337" max="3339" width="20.453125" style="214" customWidth="1"/>
    <col min="3340" max="3340" width="20" style="214" customWidth="1"/>
    <col min="3341" max="3342" width="15.1796875" style="214" customWidth="1"/>
    <col min="3343" max="3584" width="11.453125" style="214"/>
    <col min="3585" max="3585" width="10.453125" style="214" customWidth="1"/>
    <col min="3586" max="3586" width="52.453125" style="214" customWidth="1"/>
    <col min="3587" max="3591" width="20.453125" style="214" customWidth="1"/>
    <col min="3592" max="3592" width="23" style="214" customWidth="1"/>
    <col min="3593" max="3595" width="20.453125" style="214" customWidth="1"/>
    <col min="3596" max="3596" width="20" style="214" customWidth="1"/>
    <col min="3597" max="3598" width="15.1796875" style="214" customWidth="1"/>
    <col min="3599" max="3840" width="11.453125" style="214"/>
    <col min="3841" max="3841" width="10.453125" style="214" customWidth="1"/>
    <col min="3842" max="3842" width="52.453125" style="214" customWidth="1"/>
    <col min="3843" max="3847" width="20.453125" style="214" customWidth="1"/>
    <col min="3848" max="3848" width="23" style="214" customWidth="1"/>
    <col min="3849" max="3851" width="20.453125" style="214" customWidth="1"/>
    <col min="3852" max="3852" width="20" style="214" customWidth="1"/>
    <col min="3853" max="3854" width="15.1796875" style="214" customWidth="1"/>
    <col min="3855" max="4096" width="11.453125" style="214"/>
    <col min="4097" max="4097" width="10.453125" style="214" customWidth="1"/>
    <col min="4098" max="4098" width="52.453125" style="214" customWidth="1"/>
    <col min="4099" max="4103" width="20.453125" style="214" customWidth="1"/>
    <col min="4104" max="4104" width="23" style="214" customWidth="1"/>
    <col min="4105" max="4107" width="20.453125" style="214" customWidth="1"/>
    <col min="4108" max="4108" width="20" style="214" customWidth="1"/>
    <col min="4109" max="4110" width="15.1796875" style="214" customWidth="1"/>
    <col min="4111" max="4352" width="11.453125" style="214"/>
    <col min="4353" max="4353" width="10.453125" style="214" customWidth="1"/>
    <col min="4354" max="4354" width="52.453125" style="214" customWidth="1"/>
    <col min="4355" max="4359" width="20.453125" style="214" customWidth="1"/>
    <col min="4360" max="4360" width="23" style="214" customWidth="1"/>
    <col min="4361" max="4363" width="20.453125" style="214" customWidth="1"/>
    <col min="4364" max="4364" width="20" style="214" customWidth="1"/>
    <col min="4365" max="4366" width="15.1796875" style="214" customWidth="1"/>
    <col min="4367" max="4608" width="11.453125" style="214"/>
    <col min="4609" max="4609" width="10.453125" style="214" customWidth="1"/>
    <col min="4610" max="4610" width="52.453125" style="214" customWidth="1"/>
    <col min="4611" max="4615" width="20.453125" style="214" customWidth="1"/>
    <col min="4616" max="4616" width="23" style="214" customWidth="1"/>
    <col min="4617" max="4619" width="20.453125" style="214" customWidth="1"/>
    <col min="4620" max="4620" width="20" style="214" customWidth="1"/>
    <col min="4621" max="4622" width="15.1796875" style="214" customWidth="1"/>
    <col min="4623" max="4864" width="11.453125" style="214"/>
    <col min="4865" max="4865" width="10.453125" style="214" customWidth="1"/>
    <col min="4866" max="4866" width="52.453125" style="214" customWidth="1"/>
    <col min="4867" max="4871" width="20.453125" style="214" customWidth="1"/>
    <col min="4872" max="4872" width="23" style="214" customWidth="1"/>
    <col min="4873" max="4875" width="20.453125" style="214" customWidth="1"/>
    <col min="4876" max="4876" width="20" style="214" customWidth="1"/>
    <col min="4877" max="4878" width="15.1796875" style="214" customWidth="1"/>
    <col min="4879" max="5120" width="11.453125" style="214"/>
    <col min="5121" max="5121" width="10.453125" style="214" customWidth="1"/>
    <col min="5122" max="5122" width="52.453125" style="214" customWidth="1"/>
    <col min="5123" max="5127" width="20.453125" style="214" customWidth="1"/>
    <col min="5128" max="5128" width="23" style="214" customWidth="1"/>
    <col min="5129" max="5131" width="20.453125" style="214" customWidth="1"/>
    <col min="5132" max="5132" width="20" style="214" customWidth="1"/>
    <col min="5133" max="5134" width="15.1796875" style="214" customWidth="1"/>
    <col min="5135" max="5376" width="11.453125" style="214"/>
    <col min="5377" max="5377" width="10.453125" style="214" customWidth="1"/>
    <col min="5378" max="5378" width="52.453125" style="214" customWidth="1"/>
    <col min="5379" max="5383" width="20.453125" style="214" customWidth="1"/>
    <col min="5384" max="5384" width="23" style="214" customWidth="1"/>
    <col min="5385" max="5387" width="20.453125" style="214" customWidth="1"/>
    <col min="5388" max="5388" width="20" style="214" customWidth="1"/>
    <col min="5389" max="5390" width="15.1796875" style="214" customWidth="1"/>
    <col min="5391" max="5632" width="11.453125" style="214"/>
    <col min="5633" max="5633" width="10.453125" style="214" customWidth="1"/>
    <col min="5634" max="5634" width="52.453125" style="214" customWidth="1"/>
    <col min="5635" max="5639" width="20.453125" style="214" customWidth="1"/>
    <col min="5640" max="5640" width="23" style="214" customWidth="1"/>
    <col min="5641" max="5643" width="20.453125" style="214" customWidth="1"/>
    <col min="5644" max="5644" width="20" style="214" customWidth="1"/>
    <col min="5645" max="5646" width="15.1796875" style="214" customWidth="1"/>
    <col min="5647" max="5888" width="11.453125" style="214"/>
    <col min="5889" max="5889" width="10.453125" style="214" customWidth="1"/>
    <col min="5890" max="5890" width="52.453125" style="214" customWidth="1"/>
    <col min="5891" max="5895" width="20.453125" style="214" customWidth="1"/>
    <col min="5896" max="5896" width="23" style="214" customWidth="1"/>
    <col min="5897" max="5899" width="20.453125" style="214" customWidth="1"/>
    <col min="5900" max="5900" width="20" style="214" customWidth="1"/>
    <col min="5901" max="5902" width="15.1796875" style="214" customWidth="1"/>
    <col min="5903" max="6144" width="11.453125" style="214"/>
    <col min="6145" max="6145" width="10.453125" style="214" customWidth="1"/>
    <col min="6146" max="6146" width="52.453125" style="214" customWidth="1"/>
    <col min="6147" max="6151" width="20.453125" style="214" customWidth="1"/>
    <col min="6152" max="6152" width="23" style="214" customWidth="1"/>
    <col min="6153" max="6155" width="20.453125" style="214" customWidth="1"/>
    <col min="6156" max="6156" width="20" style="214" customWidth="1"/>
    <col min="6157" max="6158" width="15.1796875" style="214" customWidth="1"/>
    <col min="6159" max="6400" width="11.453125" style="214"/>
    <col min="6401" max="6401" width="10.453125" style="214" customWidth="1"/>
    <col min="6402" max="6402" width="52.453125" style="214" customWidth="1"/>
    <col min="6403" max="6407" width="20.453125" style="214" customWidth="1"/>
    <col min="6408" max="6408" width="23" style="214" customWidth="1"/>
    <col min="6409" max="6411" width="20.453125" style="214" customWidth="1"/>
    <col min="6412" max="6412" width="20" style="214" customWidth="1"/>
    <col min="6413" max="6414" width="15.1796875" style="214" customWidth="1"/>
    <col min="6415" max="6656" width="11.453125" style="214"/>
    <col min="6657" max="6657" width="10.453125" style="214" customWidth="1"/>
    <col min="6658" max="6658" width="52.453125" style="214" customWidth="1"/>
    <col min="6659" max="6663" width="20.453125" style="214" customWidth="1"/>
    <col min="6664" max="6664" width="23" style="214" customWidth="1"/>
    <col min="6665" max="6667" width="20.453125" style="214" customWidth="1"/>
    <col min="6668" max="6668" width="20" style="214" customWidth="1"/>
    <col min="6669" max="6670" width="15.1796875" style="214" customWidth="1"/>
    <col min="6671" max="6912" width="11.453125" style="214"/>
    <col min="6913" max="6913" width="10.453125" style="214" customWidth="1"/>
    <col min="6914" max="6914" width="52.453125" style="214" customWidth="1"/>
    <col min="6915" max="6919" width="20.453125" style="214" customWidth="1"/>
    <col min="6920" max="6920" width="23" style="214" customWidth="1"/>
    <col min="6921" max="6923" width="20.453125" style="214" customWidth="1"/>
    <col min="6924" max="6924" width="20" style="214" customWidth="1"/>
    <col min="6925" max="6926" width="15.1796875" style="214" customWidth="1"/>
    <col min="6927" max="7168" width="11.453125" style="214"/>
    <col min="7169" max="7169" width="10.453125" style="214" customWidth="1"/>
    <col min="7170" max="7170" width="52.453125" style="214" customWidth="1"/>
    <col min="7171" max="7175" width="20.453125" style="214" customWidth="1"/>
    <col min="7176" max="7176" width="23" style="214" customWidth="1"/>
    <col min="7177" max="7179" width="20.453125" style="214" customWidth="1"/>
    <col min="7180" max="7180" width="20" style="214" customWidth="1"/>
    <col min="7181" max="7182" width="15.1796875" style="214" customWidth="1"/>
    <col min="7183" max="7424" width="11.453125" style="214"/>
    <col min="7425" max="7425" width="10.453125" style="214" customWidth="1"/>
    <col min="7426" max="7426" width="52.453125" style="214" customWidth="1"/>
    <col min="7427" max="7431" width="20.453125" style="214" customWidth="1"/>
    <col min="7432" max="7432" width="23" style="214" customWidth="1"/>
    <col min="7433" max="7435" width="20.453125" style="214" customWidth="1"/>
    <col min="7436" max="7436" width="20" style="214" customWidth="1"/>
    <col min="7437" max="7438" width="15.1796875" style="214" customWidth="1"/>
    <col min="7439" max="7680" width="11.453125" style="214"/>
    <col min="7681" max="7681" width="10.453125" style="214" customWidth="1"/>
    <col min="7682" max="7682" width="52.453125" style="214" customWidth="1"/>
    <col min="7683" max="7687" width="20.453125" style="214" customWidth="1"/>
    <col min="7688" max="7688" width="23" style="214" customWidth="1"/>
    <col min="7689" max="7691" width="20.453125" style="214" customWidth="1"/>
    <col min="7692" max="7692" width="20" style="214" customWidth="1"/>
    <col min="7693" max="7694" width="15.1796875" style="214" customWidth="1"/>
    <col min="7695" max="7936" width="11.453125" style="214"/>
    <col min="7937" max="7937" width="10.453125" style="214" customWidth="1"/>
    <col min="7938" max="7938" width="52.453125" style="214" customWidth="1"/>
    <col min="7939" max="7943" width="20.453125" style="214" customWidth="1"/>
    <col min="7944" max="7944" width="23" style="214" customWidth="1"/>
    <col min="7945" max="7947" width="20.453125" style="214" customWidth="1"/>
    <col min="7948" max="7948" width="20" style="214" customWidth="1"/>
    <col min="7949" max="7950" width="15.1796875" style="214" customWidth="1"/>
    <col min="7951" max="8192" width="11.453125" style="214"/>
    <col min="8193" max="8193" width="10.453125" style="214" customWidth="1"/>
    <col min="8194" max="8194" width="52.453125" style="214" customWidth="1"/>
    <col min="8195" max="8199" width="20.453125" style="214" customWidth="1"/>
    <col min="8200" max="8200" width="23" style="214" customWidth="1"/>
    <col min="8201" max="8203" width="20.453125" style="214" customWidth="1"/>
    <col min="8204" max="8204" width="20" style="214" customWidth="1"/>
    <col min="8205" max="8206" width="15.1796875" style="214" customWidth="1"/>
    <col min="8207" max="8448" width="11.453125" style="214"/>
    <col min="8449" max="8449" width="10.453125" style="214" customWidth="1"/>
    <col min="8450" max="8450" width="52.453125" style="214" customWidth="1"/>
    <col min="8451" max="8455" width="20.453125" style="214" customWidth="1"/>
    <col min="8456" max="8456" width="23" style="214" customWidth="1"/>
    <col min="8457" max="8459" width="20.453125" style="214" customWidth="1"/>
    <col min="8460" max="8460" width="20" style="214" customWidth="1"/>
    <col min="8461" max="8462" width="15.1796875" style="214" customWidth="1"/>
    <col min="8463" max="8704" width="11.453125" style="214"/>
    <col min="8705" max="8705" width="10.453125" style="214" customWidth="1"/>
    <col min="8706" max="8706" width="52.453125" style="214" customWidth="1"/>
    <col min="8707" max="8711" width="20.453125" style="214" customWidth="1"/>
    <col min="8712" max="8712" width="23" style="214" customWidth="1"/>
    <col min="8713" max="8715" width="20.453125" style="214" customWidth="1"/>
    <col min="8716" max="8716" width="20" style="214" customWidth="1"/>
    <col min="8717" max="8718" width="15.1796875" style="214" customWidth="1"/>
    <col min="8719" max="8960" width="11.453125" style="214"/>
    <col min="8961" max="8961" width="10.453125" style="214" customWidth="1"/>
    <col min="8962" max="8962" width="52.453125" style="214" customWidth="1"/>
    <col min="8963" max="8967" width="20.453125" style="214" customWidth="1"/>
    <col min="8968" max="8968" width="23" style="214" customWidth="1"/>
    <col min="8969" max="8971" width="20.453125" style="214" customWidth="1"/>
    <col min="8972" max="8972" width="20" style="214" customWidth="1"/>
    <col min="8973" max="8974" width="15.1796875" style="214" customWidth="1"/>
    <col min="8975" max="9216" width="11.453125" style="214"/>
    <col min="9217" max="9217" width="10.453125" style="214" customWidth="1"/>
    <col min="9218" max="9218" width="52.453125" style="214" customWidth="1"/>
    <col min="9219" max="9223" width="20.453125" style="214" customWidth="1"/>
    <col min="9224" max="9224" width="23" style="214" customWidth="1"/>
    <col min="9225" max="9227" width="20.453125" style="214" customWidth="1"/>
    <col min="9228" max="9228" width="20" style="214" customWidth="1"/>
    <col min="9229" max="9230" width="15.1796875" style="214" customWidth="1"/>
    <col min="9231" max="9472" width="11.453125" style="214"/>
    <col min="9473" max="9473" width="10.453125" style="214" customWidth="1"/>
    <col min="9474" max="9474" width="52.453125" style="214" customWidth="1"/>
    <col min="9475" max="9479" width="20.453125" style="214" customWidth="1"/>
    <col min="9480" max="9480" width="23" style="214" customWidth="1"/>
    <col min="9481" max="9483" width="20.453125" style="214" customWidth="1"/>
    <col min="9484" max="9484" width="20" style="214" customWidth="1"/>
    <col min="9485" max="9486" width="15.1796875" style="214" customWidth="1"/>
    <col min="9487" max="9728" width="11.453125" style="214"/>
    <col min="9729" max="9729" width="10.453125" style="214" customWidth="1"/>
    <col min="9730" max="9730" width="52.453125" style="214" customWidth="1"/>
    <col min="9731" max="9735" width="20.453125" style="214" customWidth="1"/>
    <col min="9736" max="9736" width="23" style="214" customWidth="1"/>
    <col min="9737" max="9739" width="20.453125" style="214" customWidth="1"/>
    <col min="9740" max="9740" width="20" style="214" customWidth="1"/>
    <col min="9741" max="9742" width="15.1796875" style="214" customWidth="1"/>
    <col min="9743" max="9984" width="11.453125" style="214"/>
    <col min="9985" max="9985" width="10.453125" style="214" customWidth="1"/>
    <col min="9986" max="9986" width="52.453125" style="214" customWidth="1"/>
    <col min="9987" max="9991" width="20.453125" style="214" customWidth="1"/>
    <col min="9992" max="9992" width="23" style="214" customWidth="1"/>
    <col min="9993" max="9995" width="20.453125" style="214" customWidth="1"/>
    <col min="9996" max="9996" width="20" style="214" customWidth="1"/>
    <col min="9997" max="9998" width="15.1796875" style="214" customWidth="1"/>
    <col min="9999" max="10240" width="11.453125" style="214"/>
    <col min="10241" max="10241" width="10.453125" style="214" customWidth="1"/>
    <col min="10242" max="10242" width="52.453125" style="214" customWidth="1"/>
    <col min="10243" max="10247" width="20.453125" style="214" customWidth="1"/>
    <col min="10248" max="10248" width="23" style="214" customWidth="1"/>
    <col min="10249" max="10251" width="20.453125" style="214" customWidth="1"/>
    <col min="10252" max="10252" width="20" style="214" customWidth="1"/>
    <col min="10253" max="10254" width="15.1796875" style="214" customWidth="1"/>
    <col min="10255" max="10496" width="11.453125" style="214"/>
    <col min="10497" max="10497" width="10.453125" style="214" customWidth="1"/>
    <col min="10498" max="10498" width="52.453125" style="214" customWidth="1"/>
    <col min="10499" max="10503" width="20.453125" style="214" customWidth="1"/>
    <col min="10504" max="10504" width="23" style="214" customWidth="1"/>
    <col min="10505" max="10507" width="20.453125" style="214" customWidth="1"/>
    <col min="10508" max="10508" width="20" style="214" customWidth="1"/>
    <col min="10509" max="10510" width="15.1796875" style="214" customWidth="1"/>
    <col min="10511" max="10752" width="11.453125" style="214"/>
    <col min="10753" max="10753" width="10.453125" style="214" customWidth="1"/>
    <col min="10754" max="10754" width="52.453125" style="214" customWidth="1"/>
    <col min="10755" max="10759" width="20.453125" style="214" customWidth="1"/>
    <col min="10760" max="10760" width="23" style="214" customWidth="1"/>
    <col min="10761" max="10763" width="20.453125" style="214" customWidth="1"/>
    <col min="10764" max="10764" width="20" style="214" customWidth="1"/>
    <col min="10765" max="10766" width="15.1796875" style="214" customWidth="1"/>
    <col min="10767" max="11008" width="11.453125" style="214"/>
    <col min="11009" max="11009" width="10.453125" style="214" customWidth="1"/>
    <col min="11010" max="11010" width="52.453125" style="214" customWidth="1"/>
    <col min="11011" max="11015" width="20.453125" style="214" customWidth="1"/>
    <col min="11016" max="11016" width="23" style="214" customWidth="1"/>
    <col min="11017" max="11019" width="20.453125" style="214" customWidth="1"/>
    <col min="11020" max="11020" width="20" style="214" customWidth="1"/>
    <col min="11021" max="11022" width="15.1796875" style="214" customWidth="1"/>
    <col min="11023" max="11264" width="11.453125" style="214"/>
    <col min="11265" max="11265" width="10.453125" style="214" customWidth="1"/>
    <col min="11266" max="11266" width="52.453125" style="214" customWidth="1"/>
    <col min="11267" max="11271" width="20.453125" style="214" customWidth="1"/>
    <col min="11272" max="11272" width="23" style="214" customWidth="1"/>
    <col min="11273" max="11275" width="20.453125" style="214" customWidth="1"/>
    <col min="11276" max="11276" width="20" style="214" customWidth="1"/>
    <col min="11277" max="11278" width="15.1796875" style="214" customWidth="1"/>
    <col min="11279" max="11520" width="11.453125" style="214"/>
    <col min="11521" max="11521" width="10.453125" style="214" customWidth="1"/>
    <col min="11522" max="11522" width="52.453125" style="214" customWidth="1"/>
    <col min="11523" max="11527" width="20.453125" style="214" customWidth="1"/>
    <col min="11528" max="11528" width="23" style="214" customWidth="1"/>
    <col min="11529" max="11531" width="20.453125" style="214" customWidth="1"/>
    <col min="11532" max="11532" width="20" style="214" customWidth="1"/>
    <col min="11533" max="11534" width="15.1796875" style="214" customWidth="1"/>
    <col min="11535" max="11776" width="11.453125" style="214"/>
    <col min="11777" max="11777" width="10.453125" style="214" customWidth="1"/>
    <col min="11778" max="11778" width="52.453125" style="214" customWidth="1"/>
    <col min="11779" max="11783" width="20.453125" style="214" customWidth="1"/>
    <col min="11784" max="11784" width="23" style="214" customWidth="1"/>
    <col min="11785" max="11787" width="20.453125" style="214" customWidth="1"/>
    <col min="11788" max="11788" width="20" style="214" customWidth="1"/>
    <col min="11789" max="11790" width="15.1796875" style="214" customWidth="1"/>
    <col min="11791" max="12032" width="11.453125" style="214"/>
    <col min="12033" max="12033" width="10.453125" style="214" customWidth="1"/>
    <col min="12034" max="12034" width="52.453125" style="214" customWidth="1"/>
    <col min="12035" max="12039" width="20.453125" style="214" customWidth="1"/>
    <col min="12040" max="12040" width="23" style="214" customWidth="1"/>
    <col min="12041" max="12043" width="20.453125" style="214" customWidth="1"/>
    <col min="12044" max="12044" width="20" style="214" customWidth="1"/>
    <col min="12045" max="12046" width="15.1796875" style="214" customWidth="1"/>
    <col min="12047" max="12288" width="11.453125" style="214"/>
    <col min="12289" max="12289" width="10.453125" style="214" customWidth="1"/>
    <col min="12290" max="12290" width="52.453125" style="214" customWidth="1"/>
    <col min="12291" max="12295" width="20.453125" style="214" customWidth="1"/>
    <col min="12296" max="12296" width="23" style="214" customWidth="1"/>
    <col min="12297" max="12299" width="20.453125" style="214" customWidth="1"/>
    <col min="12300" max="12300" width="20" style="214" customWidth="1"/>
    <col min="12301" max="12302" width="15.1796875" style="214" customWidth="1"/>
    <col min="12303" max="12544" width="11.453125" style="214"/>
    <col min="12545" max="12545" width="10.453125" style="214" customWidth="1"/>
    <col min="12546" max="12546" width="52.453125" style="214" customWidth="1"/>
    <col min="12547" max="12551" width="20.453125" style="214" customWidth="1"/>
    <col min="12552" max="12552" width="23" style="214" customWidth="1"/>
    <col min="12553" max="12555" width="20.453125" style="214" customWidth="1"/>
    <col min="12556" max="12556" width="20" style="214" customWidth="1"/>
    <col min="12557" max="12558" width="15.1796875" style="214" customWidth="1"/>
    <col min="12559" max="12800" width="11.453125" style="214"/>
    <col min="12801" max="12801" width="10.453125" style="214" customWidth="1"/>
    <col min="12802" max="12802" width="52.453125" style="214" customWidth="1"/>
    <col min="12803" max="12807" width="20.453125" style="214" customWidth="1"/>
    <col min="12808" max="12808" width="23" style="214" customWidth="1"/>
    <col min="12809" max="12811" width="20.453125" style="214" customWidth="1"/>
    <col min="12812" max="12812" width="20" style="214" customWidth="1"/>
    <col min="12813" max="12814" width="15.1796875" style="214" customWidth="1"/>
    <col min="12815" max="13056" width="11.453125" style="214"/>
    <col min="13057" max="13057" width="10.453125" style="214" customWidth="1"/>
    <col min="13058" max="13058" width="52.453125" style="214" customWidth="1"/>
    <col min="13059" max="13063" width="20.453125" style="214" customWidth="1"/>
    <col min="13064" max="13064" width="23" style="214" customWidth="1"/>
    <col min="13065" max="13067" width="20.453125" style="214" customWidth="1"/>
    <col min="13068" max="13068" width="20" style="214" customWidth="1"/>
    <col min="13069" max="13070" width="15.1796875" style="214" customWidth="1"/>
    <col min="13071" max="13312" width="11.453125" style="214"/>
    <col min="13313" max="13313" width="10.453125" style="214" customWidth="1"/>
    <col min="13314" max="13314" width="52.453125" style="214" customWidth="1"/>
    <col min="13315" max="13319" width="20.453125" style="214" customWidth="1"/>
    <col min="13320" max="13320" width="23" style="214" customWidth="1"/>
    <col min="13321" max="13323" width="20.453125" style="214" customWidth="1"/>
    <col min="13324" max="13324" width="20" style="214" customWidth="1"/>
    <col min="13325" max="13326" width="15.1796875" style="214" customWidth="1"/>
    <col min="13327" max="13568" width="11.453125" style="214"/>
    <col min="13569" max="13569" width="10.453125" style="214" customWidth="1"/>
    <col min="13570" max="13570" width="52.453125" style="214" customWidth="1"/>
    <col min="13571" max="13575" width="20.453125" style="214" customWidth="1"/>
    <col min="13576" max="13576" width="23" style="214" customWidth="1"/>
    <col min="13577" max="13579" width="20.453125" style="214" customWidth="1"/>
    <col min="13580" max="13580" width="20" style="214" customWidth="1"/>
    <col min="13581" max="13582" width="15.1796875" style="214" customWidth="1"/>
    <col min="13583" max="13824" width="11.453125" style="214"/>
    <col min="13825" max="13825" width="10.453125" style="214" customWidth="1"/>
    <col min="13826" max="13826" width="52.453125" style="214" customWidth="1"/>
    <col min="13827" max="13831" width="20.453125" style="214" customWidth="1"/>
    <col min="13832" max="13832" width="23" style="214" customWidth="1"/>
    <col min="13833" max="13835" width="20.453125" style="214" customWidth="1"/>
    <col min="13836" max="13836" width="20" style="214" customWidth="1"/>
    <col min="13837" max="13838" width="15.1796875" style="214" customWidth="1"/>
    <col min="13839" max="14080" width="11.453125" style="214"/>
    <col min="14081" max="14081" width="10.453125" style="214" customWidth="1"/>
    <col min="14082" max="14082" width="52.453125" style="214" customWidth="1"/>
    <col min="14083" max="14087" width="20.453125" style="214" customWidth="1"/>
    <col min="14088" max="14088" width="23" style="214" customWidth="1"/>
    <col min="14089" max="14091" width="20.453125" style="214" customWidth="1"/>
    <col min="14092" max="14092" width="20" style="214" customWidth="1"/>
    <col min="14093" max="14094" width="15.1796875" style="214" customWidth="1"/>
    <col min="14095" max="14336" width="11.453125" style="214"/>
    <col min="14337" max="14337" width="10.453125" style="214" customWidth="1"/>
    <col min="14338" max="14338" width="52.453125" style="214" customWidth="1"/>
    <col min="14339" max="14343" width="20.453125" style="214" customWidth="1"/>
    <col min="14344" max="14344" width="23" style="214" customWidth="1"/>
    <col min="14345" max="14347" width="20.453125" style="214" customWidth="1"/>
    <col min="14348" max="14348" width="20" style="214" customWidth="1"/>
    <col min="14349" max="14350" width="15.1796875" style="214" customWidth="1"/>
    <col min="14351" max="14592" width="11.453125" style="214"/>
    <col min="14593" max="14593" width="10.453125" style="214" customWidth="1"/>
    <col min="14594" max="14594" width="52.453125" style="214" customWidth="1"/>
    <col min="14595" max="14599" width="20.453125" style="214" customWidth="1"/>
    <col min="14600" max="14600" width="23" style="214" customWidth="1"/>
    <col min="14601" max="14603" width="20.453125" style="214" customWidth="1"/>
    <col min="14604" max="14604" width="20" style="214" customWidth="1"/>
    <col min="14605" max="14606" width="15.1796875" style="214" customWidth="1"/>
    <col min="14607" max="14848" width="11.453125" style="214"/>
    <col min="14849" max="14849" width="10.453125" style="214" customWidth="1"/>
    <col min="14850" max="14850" width="52.453125" style="214" customWidth="1"/>
    <col min="14851" max="14855" width="20.453125" style="214" customWidth="1"/>
    <col min="14856" max="14856" width="23" style="214" customWidth="1"/>
    <col min="14857" max="14859" width="20.453125" style="214" customWidth="1"/>
    <col min="14860" max="14860" width="20" style="214" customWidth="1"/>
    <col min="14861" max="14862" width="15.1796875" style="214" customWidth="1"/>
    <col min="14863" max="15104" width="11.453125" style="214"/>
    <col min="15105" max="15105" width="10.453125" style="214" customWidth="1"/>
    <col min="15106" max="15106" width="52.453125" style="214" customWidth="1"/>
    <col min="15107" max="15111" width="20.453125" style="214" customWidth="1"/>
    <col min="15112" max="15112" width="23" style="214" customWidth="1"/>
    <col min="15113" max="15115" width="20.453125" style="214" customWidth="1"/>
    <col min="15116" max="15116" width="20" style="214" customWidth="1"/>
    <col min="15117" max="15118" width="15.1796875" style="214" customWidth="1"/>
    <col min="15119" max="15360" width="11.453125" style="214"/>
    <col min="15361" max="15361" width="10.453125" style="214" customWidth="1"/>
    <col min="15362" max="15362" width="52.453125" style="214" customWidth="1"/>
    <col min="15363" max="15367" width="20.453125" style="214" customWidth="1"/>
    <col min="15368" max="15368" width="23" style="214" customWidth="1"/>
    <col min="15369" max="15371" width="20.453125" style="214" customWidth="1"/>
    <col min="15372" max="15372" width="20" style="214" customWidth="1"/>
    <col min="15373" max="15374" width="15.1796875" style="214" customWidth="1"/>
    <col min="15375" max="15616" width="11.453125" style="214"/>
    <col min="15617" max="15617" width="10.453125" style="214" customWidth="1"/>
    <col min="15618" max="15618" width="52.453125" style="214" customWidth="1"/>
    <col min="15619" max="15623" width="20.453125" style="214" customWidth="1"/>
    <col min="15624" max="15624" width="23" style="214" customWidth="1"/>
    <col min="15625" max="15627" width="20.453125" style="214" customWidth="1"/>
    <col min="15628" max="15628" width="20" style="214" customWidth="1"/>
    <col min="15629" max="15630" width="15.1796875" style="214" customWidth="1"/>
    <col min="15631" max="15872" width="11.453125" style="214"/>
    <col min="15873" max="15873" width="10.453125" style="214" customWidth="1"/>
    <col min="15874" max="15874" width="52.453125" style="214" customWidth="1"/>
    <col min="15875" max="15879" width="20.453125" style="214" customWidth="1"/>
    <col min="15880" max="15880" width="23" style="214" customWidth="1"/>
    <col min="15881" max="15883" width="20.453125" style="214" customWidth="1"/>
    <col min="15884" max="15884" width="20" style="214" customWidth="1"/>
    <col min="15885" max="15886" width="15.1796875" style="214" customWidth="1"/>
    <col min="15887" max="16128" width="11.453125" style="214"/>
    <col min="16129" max="16129" width="10.453125" style="214" customWidth="1"/>
    <col min="16130" max="16130" width="52.453125" style="214" customWidth="1"/>
    <col min="16131" max="16135" width="20.453125" style="214" customWidth="1"/>
    <col min="16136" max="16136" width="23" style="214" customWidth="1"/>
    <col min="16137" max="16139" width="20.453125" style="214" customWidth="1"/>
    <col min="16140" max="16140" width="20" style="214" customWidth="1"/>
    <col min="16141" max="16142" width="15.1796875" style="214" customWidth="1"/>
    <col min="16143" max="16384" width="11.453125" style="214"/>
  </cols>
  <sheetData>
    <row r="1" spans="1:22" ht="15.5">
      <c r="A1" s="209"/>
      <c r="B1" s="1633"/>
      <c r="C1" s="1633"/>
      <c r="D1" s="1633"/>
      <c r="E1" s="1634"/>
      <c r="F1" s="1633"/>
      <c r="G1" s="1633"/>
      <c r="H1" s="1633"/>
      <c r="I1" s="1633"/>
      <c r="J1" s="1633"/>
      <c r="K1" s="1633"/>
      <c r="L1" s="1633"/>
      <c r="M1" s="1633"/>
    </row>
    <row r="2" spans="1:22" ht="15.5">
      <c r="A2" s="2284" t="str">
        <f>+'SWEPCO TCOS'!F4</f>
        <v xml:space="preserve">AEP West SPP Member Operating Companies </v>
      </c>
      <c r="B2" s="2284"/>
      <c r="C2" s="2284"/>
      <c r="D2" s="2284"/>
      <c r="E2" s="2284"/>
      <c r="F2" s="2284"/>
      <c r="G2" s="2284"/>
      <c r="H2" s="2284"/>
      <c r="I2" s="18"/>
      <c r="J2" s="18"/>
      <c r="K2" s="18"/>
      <c r="L2" s="18"/>
      <c r="M2" s="18"/>
    </row>
    <row r="3" spans="1:22" ht="15.5">
      <c r="A3" s="2402" t="str">
        <f>+'SWEPCO WS A-1 - Plant'!A3</f>
        <v xml:space="preserve">Actual / Projected 2024 Rate Year Cost of Service Formula Rate </v>
      </c>
      <c r="B3" s="2402"/>
      <c r="C3" s="2402"/>
      <c r="D3" s="2402"/>
      <c r="E3" s="2402"/>
      <c r="F3" s="2402"/>
      <c r="G3" s="2402"/>
      <c r="H3" s="2402"/>
      <c r="I3" s="1283"/>
      <c r="J3" s="1283"/>
      <c r="K3" s="1283"/>
      <c r="L3" s="1283"/>
      <c r="M3" s="1283"/>
    </row>
    <row r="4" spans="1:22" ht="15.5">
      <c r="A4" s="2403" t="s">
        <v>920</v>
      </c>
      <c r="B4" s="2403"/>
      <c r="C4" s="2403"/>
      <c r="D4" s="2403"/>
      <c r="E4" s="2403"/>
      <c r="F4" s="2403"/>
      <c r="G4" s="2403"/>
      <c r="H4" s="2403"/>
      <c r="I4" s="1283"/>
      <c r="J4" s="1283"/>
      <c r="K4" s="1283"/>
      <c r="L4" s="1283"/>
      <c r="M4" s="1283"/>
    </row>
    <row r="5" spans="1:22" ht="15.5">
      <c r="A5" s="2285" t="str">
        <f>+'SWEPCO TCOS'!F8</f>
        <v>SOUTHWESTERN ELECTRIC POWER COMPANY</v>
      </c>
      <c r="B5" s="2285"/>
      <c r="C5" s="2285"/>
      <c r="D5" s="2285"/>
      <c r="E5" s="2285"/>
      <c r="F5" s="2285"/>
      <c r="G5" s="2285"/>
      <c r="H5" s="2285"/>
      <c r="I5" s="741"/>
      <c r="J5" s="741"/>
      <c r="K5" s="741"/>
      <c r="L5" s="741"/>
      <c r="M5" s="741"/>
    </row>
    <row r="6" spans="1:22">
      <c r="A6" s="215"/>
      <c r="B6" s="216"/>
      <c r="C6" s="216"/>
      <c r="D6" s="216"/>
      <c r="E6" s="217"/>
      <c r="F6" s="218"/>
      <c r="H6" s="208"/>
      <c r="I6" s="208"/>
      <c r="J6" s="208"/>
      <c r="K6" s="208"/>
      <c r="L6" s="208"/>
    </row>
    <row r="7" spans="1:22" ht="12.75" customHeight="1">
      <c r="A7" s="213"/>
      <c r="B7" s="219"/>
      <c r="C7" s="2371" t="s">
        <v>175</v>
      </c>
      <c r="D7" s="2372"/>
      <c r="E7" s="2372"/>
      <c r="F7" s="2372"/>
      <c r="G7" s="2373"/>
      <c r="H7" s="208"/>
      <c r="I7" s="208"/>
      <c r="J7" s="208"/>
      <c r="K7" s="208"/>
      <c r="L7" s="208"/>
    </row>
    <row r="8" spans="1:22" s="223" customFormat="1" ht="50.25" customHeight="1">
      <c r="A8" s="220" t="s">
        <v>722</v>
      </c>
      <c r="B8" s="221" t="s">
        <v>705</v>
      </c>
      <c r="C8" s="1822" t="s">
        <v>889</v>
      </c>
      <c r="D8" s="1289" t="s">
        <v>890</v>
      </c>
      <c r="E8" s="1289" t="s">
        <v>891</v>
      </c>
      <c r="F8" s="1289" t="s">
        <v>892</v>
      </c>
      <c r="G8" s="222" t="s">
        <v>175</v>
      </c>
      <c r="H8" s="208"/>
      <c r="I8" s="208"/>
      <c r="J8" s="208"/>
      <c r="K8" s="208"/>
      <c r="L8" s="208"/>
    </row>
    <row r="9" spans="1:22" s="229" customFormat="1">
      <c r="A9" s="224"/>
      <c r="B9" s="225" t="s">
        <v>731</v>
      </c>
      <c r="C9" s="226" t="s">
        <v>732</v>
      </c>
      <c r="D9" s="227" t="s">
        <v>733</v>
      </c>
      <c r="E9" s="227" t="s">
        <v>734</v>
      </c>
      <c r="F9" s="227" t="s">
        <v>735</v>
      </c>
      <c r="G9" s="228" t="s">
        <v>893</v>
      </c>
      <c r="H9" s="208"/>
      <c r="I9" s="208"/>
      <c r="J9" s="208"/>
      <c r="K9" s="208"/>
      <c r="L9" s="208"/>
    </row>
    <row r="10" spans="1:22" s="229" customFormat="1" ht="44.25" customHeight="1">
      <c r="A10" s="224"/>
      <c r="B10" s="225" t="s">
        <v>894</v>
      </c>
      <c r="C10" s="230" t="s">
        <v>895</v>
      </c>
      <c r="D10" s="231" t="s">
        <v>896</v>
      </c>
      <c r="E10" s="231" t="s">
        <v>897</v>
      </c>
      <c r="F10" s="231" t="s">
        <v>898</v>
      </c>
      <c r="G10" s="232"/>
      <c r="H10" s="208"/>
      <c r="I10" s="208"/>
      <c r="J10" s="208"/>
      <c r="K10" s="208"/>
      <c r="L10" s="208"/>
    </row>
    <row r="11" spans="1:22">
      <c r="A11" s="224">
        <v>1</v>
      </c>
      <c r="B11" s="233" t="s">
        <v>741</v>
      </c>
      <c r="C11" s="2443">
        <v>3770151754.3850002</v>
      </c>
      <c r="D11" s="2147">
        <v>0</v>
      </c>
      <c r="E11" s="2443">
        <v>46704256.655999996</v>
      </c>
      <c r="F11" s="2443">
        <v>-3417070.92</v>
      </c>
      <c r="G11" s="234">
        <f t="shared" ref="G11:G23" si="0">+C11-D11-E11-F11</f>
        <v>3726864568.6490002</v>
      </c>
      <c r="H11" s="208"/>
      <c r="I11"/>
      <c r="J11"/>
      <c r="K11"/>
      <c r="L11"/>
      <c r="M11"/>
      <c r="N11"/>
      <c r="O11"/>
      <c r="P11"/>
      <c r="Q11"/>
      <c r="R11"/>
      <c r="S11"/>
      <c r="T11"/>
      <c r="U11"/>
      <c r="V11"/>
    </row>
    <row r="12" spans="1:22">
      <c r="A12" s="224">
        <f t="shared" ref="A12:A24" si="1">+A11+1</f>
        <v>2</v>
      </c>
      <c r="B12" s="233" t="s">
        <v>322</v>
      </c>
      <c r="C12" s="2443">
        <v>3795077564.3850002</v>
      </c>
      <c r="D12" s="2147"/>
      <c r="E12" s="2443">
        <v>46833039.005999997</v>
      </c>
      <c r="F12" s="2443">
        <v>-3440012.3999999994</v>
      </c>
      <c r="G12" s="234">
        <f t="shared" si="0"/>
        <v>3751684537.7790003</v>
      </c>
      <c r="H12" s="208"/>
      <c r="I12" s="208"/>
      <c r="J12" s="208"/>
      <c r="K12" s="208"/>
      <c r="L12" s="208"/>
    </row>
    <row r="13" spans="1:22">
      <c r="A13" s="224">
        <f t="shared" si="1"/>
        <v>3</v>
      </c>
      <c r="B13" s="235" t="s">
        <v>515</v>
      </c>
      <c r="C13" s="2443">
        <v>3806040462.2869992</v>
      </c>
      <c r="D13" s="2147"/>
      <c r="E13" s="2443">
        <v>46957512.246000007</v>
      </c>
      <c r="F13" s="2443">
        <v>-3462953.88</v>
      </c>
      <c r="G13" s="234">
        <f t="shared" si="0"/>
        <v>3762545903.9209995</v>
      </c>
      <c r="H13" s="1654"/>
      <c r="I13" s="208"/>
      <c r="J13" s="1654"/>
      <c r="K13" s="208"/>
      <c r="L13" s="208"/>
    </row>
    <row r="14" spans="1:22">
      <c r="A14" s="224">
        <f t="shared" si="1"/>
        <v>4</v>
      </c>
      <c r="B14" s="235" t="s">
        <v>742</v>
      </c>
      <c r="C14" s="2443">
        <v>3928197361.3060002</v>
      </c>
      <c r="D14" s="2147"/>
      <c r="E14" s="2443">
        <v>47080537.116000004</v>
      </c>
      <c r="F14" s="2443">
        <v>-3551986.3099999996</v>
      </c>
      <c r="G14" s="234">
        <f t="shared" si="0"/>
        <v>3884668810.5</v>
      </c>
      <c r="H14" s="1654"/>
      <c r="I14" s="208"/>
      <c r="J14" s="1654"/>
      <c r="K14" s="208"/>
      <c r="L14" s="208"/>
    </row>
    <row r="15" spans="1:22">
      <c r="A15" s="224">
        <f t="shared" si="1"/>
        <v>5</v>
      </c>
      <c r="B15" s="235" t="s">
        <v>324</v>
      </c>
      <c r="C15" s="2443">
        <v>3809646639.4939981</v>
      </c>
      <c r="D15" s="2147"/>
      <c r="E15" s="2443">
        <v>47206914.866000004</v>
      </c>
      <c r="F15" s="2443">
        <v>-3574927.78</v>
      </c>
      <c r="G15" s="234">
        <f t="shared" si="0"/>
        <v>3766014652.4079981</v>
      </c>
      <c r="H15" s="1796"/>
      <c r="I15" s="208"/>
      <c r="J15" s="208"/>
      <c r="K15" s="208"/>
      <c r="L15" s="208"/>
    </row>
    <row r="16" spans="1:22">
      <c r="A16" s="224">
        <f t="shared" si="1"/>
        <v>6</v>
      </c>
      <c r="B16" s="235" t="s">
        <v>325</v>
      </c>
      <c r="C16" s="2443">
        <v>3720368979.6219988</v>
      </c>
      <c r="D16" s="2147"/>
      <c r="E16" s="2443">
        <v>47334842.386000007</v>
      </c>
      <c r="F16" s="2443">
        <v>-3597869.2699999996</v>
      </c>
      <c r="G16" s="234">
        <f t="shared" si="0"/>
        <v>3676632006.5059986</v>
      </c>
      <c r="H16" s="1797"/>
      <c r="I16" s="208"/>
      <c r="J16" s="208"/>
      <c r="K16" s="208"/>
      <c r="L16" s="208"/>
    </row>
    <row r="17" spans="1:23">
      <c r="A17" s="224">
        <f t="shared" si="1"/>
        <v>7</v>
      </c>
      <c r="B17" s="235" t="s">
        <v>48</v>
      </c>
      <c r="C17" s="2443">
        <v>3757906591.5539985</v>
      </c>
      <c r="D17" s="2147"/>
      <c r="E17" s="2443">
        <v>47460914.256000005</v>
      </c>
      <c r="F17" s="2443">
        <v>-3686901.6999999997</v>
      </c>
      <c r="G17" s="234">
        <f t="shared" si="0"/>
        <v>3714132578.9979982</v>
      </c>
      <c r="H17" s="1796"/>
      <c r="I17" s="208"/>
      <c r="J17" s="208"/>
      <c r="K17" s="208"/>
      <c r="L17" s="208"/>
    </row>
    <row r="18" spans="1:23">
      <c r="A18" s="224">
        <f t="shared" si="1"/>
        <v>8</v>
      </c>
      <c r="B18" s="235" t="s">
        <v>326</v>
      </c>
      <c r="C18" s="2443">
        <v>3805701960.7000003</v>
      </c>
      <c r="D18" s="2147"/>
      <c r="E18" s="2443">
        <v>47589332.846000001</v>
      </c>
      <c r="F18" s="2443">
        <v>-3709843.17</v>
      </c>
      <c r="G18" s="234">
        <f t="shared" si="0"/>
        <v>3761822471.0240002</v>
      </c>
      <c r="H18" s="208"/>
      <c r="I18" s="208"/>
      <c r="J18" s="208"/>
      <c r="K18" s="208"/>
      <c r="L18" s="208"/>
    </row>
    <row r="19" spans="1:23">
      <c r="A19" s="224">
        <f t="shared" si="1"/>
        <v>9</v>
      </c>
      <c r="B19" s="235" t="s">
        <v>743</v>
      </c>
      <c r="C19" s="2443">
        <v>3756618805.4780016</v>
      </c>
      <c r="D19" s="2147"/>
      <c r="E19" s="2443">
        <v>47715978.976000004</v>
      </c>
      <c r="F19" s="2443">
        <v>-3732784.6599999997</v>
      </c>
      <c r="G19" s="234">
        <f t="shared" si="0"/>
        <v>3712635611.1620016</v>
      </c>
      <c r="H19" s="208"/>
      <c r="I19" s="208"/>
      <c r="J19" s="208"/>
      <c r="K19" s="208"/>
      <c r="L19" s="208"/>
    </row>
    <row r="20" spans="1:23">
      <c r="A20" s="224">
        <f t="shared" si="1"/>
        <v>10</v>
      </c>
      <c r="B20" s="235" t="s">
        <v>329</v>
      </c>
      <c r="C20" s="2443">
        <v>3795822658.9410005</v>
      </c>
      <c r="D20" s="2147"/>
      <c r="E20" s="2443">
        <v>47842735.436000004</v>
      </c>
      <c r="F20" s="2443">
        <v>-3821817.0999999996</v>
      </c>
      <c r="G20" s="234">
        <f t="shared" si="0"/>
        <v>3751801740.6050005</v>
      </c>
      <c r="H20" s="208"/>
      <c r="I20" s="208"/>
      <c r="J20" s="208"/>
      <c r="K20" s="208"/>
      <c r="L20" s="208"/>
    </row>
    <row r="21" spans="1:23">
      <c r="A21" s="224">
        <f t="shared" si="1"/>
        <v>11</v>
      </c>
      <c r="B21" s="235" t="s">
        <v>516</v>
      </c>
      <c r="C21" s="2443">
        <v>3811497172.4800029</v>
      </c>
      <c r="D21" s="2147"/>
      <c r="E21" s="2443">
        <v>47966090.175999999</v>
      </c>
      <c r="F21" s="2443">
        <v>-3844758.5799999996</v>
      </c>
      <c r="G21" s="234">
        <f t="shared" si="0"/>
        <v>3767375840.8840027</v>
      </c>
      <c r="H21" s="208"/>
      <c r="I21" s="208"/>
      <c r="J21" s="208"/>
      <c r="K21" s="208"/>
      <c r="L21" s="208"/>
    </row>
    <row r="22" spans="1:23">
      <c r="A22" s="224">
        <f t="shared" si="1"/>
        <v>12</v>
      </c>
      <c r="B22" s="235" t="s">
        <v>517</v>
      </c>
      <c r="C22" s="2443">
        <v>3823618330.8649993</v>
      </c>
      <c r="D22" s="2147"/>
      <c r="E22" s="2443">
        <v>48066741.255999997</v>
      </c>
      <c r="F22" s="2443">
        <v>-3867700.05</v>
      </c>
      <c r="G22" s="234">
        <f t="shared" si="0"/>
        <v>3779419289.6589994</v>
      </c>
      <c r="H22" s="208"/>
      <c r="I22" s="208"/>
      <c r="J22" s="208"/>
      <c r="K22" s="208"/>
      <c r="L22" s="208"/>
    </row>
    <row r="23" spans="1:23">
      <c r="A23" s="236">
        <f t="shared" si="1"/>
        <v>13</v>
      </c>
      <c r="B23" s="237" t="s">
        <v>744</v>
      </c>
      <c r="C23" s="2443">
        <v>3904652404.3200016</v>
      </c>
      <c r="D23" s="2147">
        <v>0</v>
      </c>
      <c r="E23" s="2443">
        <v>48169473.556000009</v>
      </c>
      <c r="F23" s="2443">
        <v>2319608.7800000003</v>
      </c>
      <c r="G23" s="234">
        <f t="shared" si="0"/>
        <v>3854163321.9840012</v>
      </c>
      <c r="H23" s="208"/>
      <c r="I23" s="208"/>
      <c r="J23" s="208"/>
      <c r="K23" s="208"/>
      <c r="L23" s="208"/>
    </row>
    <row r="24" spans="1:23" ht="13.5" thickBot="1">
      <c r="A24" s="1655">
        <f t="shared" si="1"/>
        <v>14</v>
      </c>
      <c r="B24" s="1749" t="s">
        <v>1228</v>
      </c>
      <c r="C24" s="1656">
        <f>AVERAGE(C11:C23)</f>
        <v>3806561591.216692</v>
      </c>
      <c r="D24" s="2148">
        <f>AVERAGE(D11:D23)</f>
        <v>0</v>
      </c>
      <c r="E24" s="1656">
        <f>AVERAGE(E11:E23)</f>
        <v>47456028.36753846</v>
      </c>
      <c r="F24" s="1656">
        <f>AVERAGE(F11:F23)</f>
        <v>-3183770.5415384611</v>
      </c>
      <c r="G24" s="1656">
        <f>AVERAGE(G11:G23)</f>
        <v>3762289333.3906918</v>
      </c>
      <c r="H24" s="208"/>
      <c r="I24" s="208"/>
      <c r="J24" s="208"/>
      <c r="K24" s="208"/>
      <c r="L24" s="208"/>
    </row>
    <row r="25" spans="1:23" ht="13.5" thickTop="1">
      <c r="A25" s="213"/>
      <c r="B25" s="240"/>
      <c r="C25"/>
      <c r="D25"/>
      <c r="E25"/>
      <c r="F25"/>
      <c r="G25" s="241"/>
      <c r="H25" s="241"/>
      <c r="I25" s="208"/>
      <c r="J25" s="208"/>
      <c r="K25" s="208"/>
      <c r="L25" s="208"/>
    </row>
    <row r="26" spans="1:23" ht="12.75" customHeight="1">
      <c r="A26" s="213"/>
      <c r="B26" s="219"/>
      <c r="C26" s="2374" t="s">
        <v>899</v>
      </c>
      <c r="D26" s="2375"/>
      <c r="E26" s="2375"/>
      <c r="F26" s="2375"/>
      <c r="G26" s="2375"/>
      <c r="H26" s="2376"/>
      <c r="I26" s="208"/>
      <c r="J26" s="208"/>
      <c r="K26" s="208"/>
      <c r="L26" s="208"/>
    </row>
    <row r="27" spans="1:23" s="223" customFormat="1" ht="39">
      <c r="A27" s="220" t="s">
        <v>722</v>
      </c>
      <c r="B27" s="221" t="s">
        <v>705</v>
      </c>
      <c r="C27" s="1822" t="s">
        <v>900</v>
      </c>
      <c r="D27" s="1289" t="s">
        <v>901</v>
      </c>
      <c r="E27" s="1289" t="s">
        <v>902</v>
      </c>
      <c r="F27" s="1289" t="s">
        <v>903</v>
      </c>
      <c r="G27" s="1289" t="s">
        <v>904</v>
      </c>
      <c r="H27" s="222" t="s">
        <v>905</v>
      </c>
      <c r="I27" s="208"/>
      <c r="J27" s="208"/>
      <c r="K27" s="208"/>
      <c r="L27" s="208"/>
    </row>
    <row r="28" spans="1:23" s="229" customFormat="1">
      <c r="A28" s="224"/>
      <c r="B28" s="225" t="s">
        <v>731</v>
      </c>
      <c r="C28" s="226" t="s">
        <v>732</v>
      </c>
      <c r="D28" s="227" t="s">
        <v>733</v>
      </c>
      <c r="E28" s="227" t="s">
        <v>734</v>
      </c>
      <c r="F28" s="227" t="s">
        <v>735</v>
      </c>
      <c r="G28" s="227" t="s">
        <v>736</v>
      </c>
      <c r="H28" s="228" t="s">
        <v>906</v>
      </c>
      <c r="I28" s="208"/>
      <c r="J28" s="208"/>
      <c r="K28" s="208"/>
      <c r="L28" s="208"/>
    </row>
    <row r="29" spans="1:23" s="229" customFormat="1" ht="44.25" customHeight="1">
      <c r="A29" s="224"/>
      <c r="B29" s="225" t="s">
        <v>894</v>
      </c>
      <c r="C29" s="230" t="s">
        <v>907</v>
      </c>
      <c r="D29" s="231" t="s">
        <v>908</v>
      </c>
      <c r="E29" s="231" t="s">
        <v>909</v>
      </c>
      <c r="F29" s="231" t="s">
        <v>910</v>
      </c>
      <c r="G29" s="231" t="s">
        <v>911</v>
      </c>
      <c r="H29" s="242"/>
      <c r="I29" s="208"/>
      <c r="J29" s="208"/>
      <c r="K29" s="208"/>
      <c r="L29" s="208"/>
    </row>
    <row r="30" spans="1:23">
      <c r="A30" s="224">
        <f>+A24+1</f>
        <v>15</v>
      </c>
      <c r="B30" s="233" t="s">
        <v>741</v>
      </c>
      <c r="C30" s="2147">
        <v>0</v>
      </c>
      <c r="D30" s="2147">
        <v>0</v>
      </c>
      <c r="E30" s="2147">
        <v>0</v>
      </c>
      <c r="F30" s="2443">
        <v>3675000000</v>
      </c>
      <c r="G30" s="2147">
        <v>0</v>
      </c>
      <c r="H30" s="234">
        <f t="shared" ref="H30:H42" si="2">+C30-D30+E30+F30-G30</f>
        <v>3675000000</v>
      </c>
      <c r="I30" s="208"/>
      <c r="J30"/>
      <c r="K30"/>
      <c r="L30"/>
      <c r="M30"/>
      <c r="N30"/>
      <c r="O30"/>
      <c r="P30"/>
      <c r="Q30"/>
      <c r="R30"/>
      <c r="S30"/>
      <c r="T30"/>
      <c r="U30"/>
      <c r="V30"/>
      <c r="W30"/>
    </row>
    <row r="31" spans="1:23">
      <c r="A31" s="224">
        <f t="shared" ref="A31:A43" si="3">+A30+1</f>
        <v>16</v>
      </c>
      <c r="B31" s="233" t="s">
        <v>322</v>
      </c>
      <c r="C31" s="2147"/>
      <c r="D31" s="2147"/>
      <c r="E31" s="2147"/>
      <c r="F31" s="2443">
        <v>3675000000</v>
      </c>
      <c r="G31" s="2147"/>
      <c r="H31" s="234">
        <f t="shared" si="2"/>
        <v>3675000000</v>
      </c>
      <c r="I31" s="208"/>
      <c r="J31" s="208"/>
      <c r="K31" s="208"/>
      <c r="L31" s="208"/>
    </row>
    <row r="32" spans="1:23">
      <c r="A32" s="224">
        <f t="shared" si="3"/>
        <v>17</v>
      </c>
      <c r="B32" s="235" t="s">
        <v>515</v>
      </c>
      <c r="C32" s="2147"/>
      <c r="D32" s="2147"/>
      <c r="E32" s="2147"/>
      <c r="F32" s="2443">
        <v>3675000000</v>
      </c>
      <c r="G32" s="2147"/>
      <c r="H32" s="234">
        <f t="shared" si="2"/>
        <v>3675000000</v>
      </c>
      <c r="I32" s="208"/>
      <c r="J32" s="208"/>
      <c r="K32" s="208"/>
      <c r="L32" s="208"/>
    </row>
    <row r="33" spans="1:12">
      <c r="A33" s="224">
        <f t="shared" si="3"/>
        <v>18</v>
      </c>
      <c r="B33" s="235" t="s">
        <v>742</v>
      </c>
      <c r="C33" s="2147"/>
      <c r="D33" s="2147"/>
      <c r="E33" s="2147"/>
      <c r="F33" s="2443">
        <v>3675000000</v>
      </c>
      <c r="G33" s="2147"/>
      <c r="H33" s="234">
        <f t="shared" si="2"/>
        <v>3675000000</v>
      </c>
      <c r="I33" s="208"/>
      <c r="J33" s="208"/>
      <c r="K33" s="208"/>
      <c r="L33" s="208"/>
    </row>
    <row r="34" spans="1:12">
      <c r="A34" s="224">
        <f t="shared" si="3"/>
        <v>19</v>
      </c>
      <c r="B34" s="235" t="s">
        <v>324</v>
      </c>
      <c r="C34" s="2147"/>
      <c r="D34" s="2147"/>
      <c r="E34" s="2147"/>
      <c r="F34" s="2443">
        <v>3675000000</v>
      </c>
      <c r="G34" s="2147"/>
      <c r="H34" s="234">
        <f t="shared" si="2"/>
        <v>3675000000</v>
      </c>
      <c r="I34" s="208"/>
      <c r="J34" s="208"/>
      <c r="K34" s="208"/>
      <c r="L34" s="208"/>
    </row>
    <row r="35" spans="1:12">
      <c r="A35" s="224">
        <f t="shared" si="3"/>
        <v>20</v>
      </c>
      <c r="B35" s="235" t="s">
        <v>325</v>
      </c>
      <c r="C35" s="2147"/>
      <c r="D35" s="2147"/>
      <c r="E35" s="2147"/>
      <c r="F35" s="2443">
        <v>3675000000</v>
      </c>
      <c r="G35" s="2147"/>
      <c r="H35" s="234">
        <f t="shared" si="2"/>
        <v>3675000000</v>
      </c>
      <c r="I35" s="208"/>
      <c r="J35" s="208"/>
      <c r="K35" s="208"/>
      <c r="L35" s="208"/>
    </row>
    <row r="36" spans="1:12">
      <c r="A36" s="224">
        <f t="shared" si="3"/>
        <v>21</v>
      </c>
      <c r="B36" s="235" t="s">
        <v>48</v>
      </c>
      <c r="C36" s="2147"/>
      <c r="D36" s="2147"/>
      <c r="E36" s="2147"/>
      <c r="F36" s="2443">
        <v>3675000000</v>
      </c>
      <c r="G36" s="2147"/>
      <c r="H36" s="234">
        <f t="shared" si="2"/>
        <v>3675000000</v>
      </c>
      <c r="I36" s="208"/>
      <c r="J36" s="208"/>
      <c r="K36" s="208"/>
      <c r="L36" s="208"/>
    </row>
    <row r="37" spans="1:12">
      <c r="A37" s="224">
        <f t="shared" si="3"/>
        <v>22</v>
      </c>
      <c r="B37" s="235" t="s">
        <v>326</v>
      </c>
      <c r="C37" s="2147"/>
      <c r="D37" s="2147"/>
      <c r="E37" s="2147"/>
      <c r="F37" s="2443">
        <v>3675000000</v>
      </c>
      <c r="G37" s="2147"/>
      <c r="H37" s="234">
        <f t="shared" si="2"/>
        <v>3675000000</v>
      </c>
      <c r="I37" s="208"/>
      <c r="J37" s="208"/>
      <c r="K37" s="1654"/>
      <c r="L37" s="208"/>
    </row>
    <row r="38" spans="1:12">
      <c r="A38" s="224">
        <f t="shared" si="3"/>
        <v>23</v>
      </c>
      <c r="B38" s="235" t="s">
        <v>743</v>
      </c>
      <c r="C38" s="2147"/>
      <c r="D38" s="2147"/>
      <c r="E38" s="2147"/>
      <c r="F38" s="2443">
        <v>3675000000</v>
      </c>
      <c r="G38" s="2147"/>
      <c r="H38" s="234">
        <f t="shared" si="2"/>
        <v>3675000000</v>
      </c>
      <c r="I38" s="208"/>
      <c r="J38" s="208"/>
      <c r="K38" s="208"/>
      <c r="L38" s="208"/>
    </row>
    <row r="39" spans="1:12">
      <c r="A39" s="224">
        <f t="shared" si="3"/>
        <v>24</v>
      </c>
      <c r="B39" s="235" t="s">
        <v>329</v>
      </c>
      <c r="C39" s="2147"/>
      <c r="D39" s="2147"/>
      <c r="E39" s="2147"/>
      <c r="F39" s="2443">
        <v>3675000000</v>
      </c>
      <c r="G39" s="2147"/>
      <c r="H39" s="234">
        <f t="shared" si="2"/>
        <v>3675000000</v>
      </c>
      <c r="I39" s="208"/>
      <c r="J39" s="208"/>
      <c r="K39" s="208"/>
      <c r="L39" s="208"/>
    </row>
    <row r="40" spans="1:12">
      <c r="A40" s="224">
        <f t="shared" si="3"/>
        <v>25</v>
      </c>
      <c r="B40" s="235" t="s">
        <v>516</v>
      </c>
      <c r="C40" s="2147"/>
      <c r="D40" s="2147"/>
      <c r="E40" s="2147"/>
      <c r="F40" s="2443">
        <v>3675000000</v>
      </c>
      <c r="G40" s="2147"/>
      <c r="H40" s="234">
        <f t="shared" si="2"/>
        <v>3675000000</v>
      </c>
      <c r="I40" s="208"/>
      <c r="J40" s="208"/>
      <c r="K40" s="208"/>
      <c r="L40" s="208"/>
    </row>
    <row r="41" spans="1:12">
      <c r="A41" s="224">
        <f t="shared" si="3"/>
        <v>26</v>
      </c>
      <c r="B41" s="235" t="s">
        <v>517</v>
      </c>
      <c r="C41" s="2147"/>
      <c r="D41" s="2147"/>
      <c r="E41" s="2147"/>
      <c r="F41" s="2443">
        <v>3675000000</v>
      </c>
      <c r="G41" s="2147"/>
      <c r="H41" s="234">
        <f t="shared" si="2"/>
        <v>3675000000</v>
      </c>
      <c r="I41" s="208"/>
      <c r="J41" s="208"/>
      <c r="K41" s="208"/>
      <c r="L41" s="208"/>
    </row>
    <row r="42" spans="1:12">
      <c r="A42" s="236">
        <f t="shared" si="3"/>
        <v>27</v>
      </c>
      <c r="B42" s="237" t="s">
        <v>744</v>
      </c>
      <c r="C42" s="2147">
        <v>0</v>
      </c>
      <c r="D42" s="2147">
        <v>0</v>
      </c>
      <c r="E42" s="2147">
        <v>0</v>
      </c>
      <c r="F42" s="2443">
        <v>3675000000</v>
      </c>
      <c r="G42" s="2147">
        <v>0</v>
      </c>
      <c r="H42" s="234">
        <f t="shared" si="2"/>
        <v>3675000000</v>
      </c>
      <c r="I42" s="208"/>
      <c r="J42" s="208"/>
      <c r="K42" s="208"/>
      <c r="L42" s="208"/>
    </row>
    <row r="43" spans="1:12" ht="13.5" thickBot="1">
      <c r="A43" s="238">
        <f t="shared" si="3"/>
        <v>28</v>
      </c>
      <c r="B43" s="1749" t="s">
        <v>1228</v>
      </c>
      <c r="C43" s="2148">
        <f t="shared" ref="C43:H43" si="4">AVERAGE(C30:C42)</f>
        <v>0</v>
      </c>
      <c r="D43" s="2148">
        <f t="shared" si="4"/>
        <v>0</v>
      </c>
      <c r="E43" s="2148">
        <f t="shared" si="4"/>
        <v>0</v>
      </c>
      <c r="F43" s="1656">
        <f t="shared" si="4"/>
        <v>3675000000</v>
      </c>
      <c r="G43" s="2148">
        <f t="shared" si="4"/>
        <v>0</v>
      </c>
      <c r="H43" s="1656">
        <f t="shared" si="4"/>
        <v>3675000000</v>
      </c>
      <c r="I43" s="208"/>
      <c r="J43" s="208"/>
      <c r="K43" s="208"/>
      <c r="L43" s="208"/>
    </row>
    <row r="44" spans="1:12" ht="13.5" thickTop="1">
      <c r="A44" s="215"/>
      <c r="B44" s="243"/>
      <c r="C44"/>
      <c r="D44"/>
      <c r="E44"/>
      <c r="F44"/>
      <c r="G44"/>
      <c r="H44" s="244"/>
      <c r="I44" s="208"/>
      <c r="J44" s="208"/>
      <c r="K44" s="208"/>
      <c r="L44" s="208"/>
    </row>
    <row r="45" spans="1:12" ht="12.75" customHeight="1">
      <c r="A45" s="245" t="s">
        <v>912</v>
      </c>
      <c r="F45" s="246"/>
      <c r="G45" s="246"/>
      <c r="H45" s="246"/>
      <c r="I45" s="208"/>
      <c r="J45" s="208"/>
      <c r="K45" s="208"/>
    </row>
    <row r="46" spans="1:12">
      <c r="E46" s="246"/>
      <c r="F46" s="246"/>
      <c r="G46" s="246"/>
      <c r="H46" s="246"/>
      <c r="J46" s="243"/>
    </row>
    <row r="47" spans="1:12" ht="15.5">
      <c r="A47" s="248" t="s">
        <v>170</v>
      </c>
      <c r="E47" s="246"/>
      <c r="F47" s="246"/>
      <c r="G47" s="246"/>
      <c r="H47" s="213"/>
    </row>
    <row r="48" spans="1:12" ht="25.5">
      <c r="A48" s="220" t="s">
        <v>722</v>
      </c>
      <c r="B48" s="249" t="s">
        <v>731</v>
      </c>
      <c r="C48" s="249" t="s">
        <v>732</v>
      </c>
      <c r="D48" s="250" t="s">
        <v>733</v>
      </c>
      <c r="E48" s="249" t="s">
        <v>734</v>
      </c>
      <c r="F48" s="250" t="s">
        <v>735</v>
      </c>
      <c r="G48" s="249" t="s">
        <v>736</v>
      </c>
      <c r="H48" s="249" t="s">
        <v>737</v>
      </c>
    </row>
    <row r="49" spans="1:12" ht="15.5">
      <c r="A49" s="248"/>
      <c r="B49" s="249"/>
      <c r="C49" s="249"/>
      <c r="D49" s="250"/>
      <c r="E49" s="249"/>
      <c r="F49" s="250"/>
      <c r="G49" s="249"/>
      <c r="H49" s="249"/>
    </row>
    <row r="50" spans="1:12">
      <c r="A50" s="251">
        <f>+A43+1</f>
        <v>29</v>
      </c>
      <c r="B50" s="252" t="str">
        <f>"Annual Interest Expense for "&amp;'SWEPCO TCOS'!N2</f>
        <v>Annual Interest Expense for 2024</v>
      </c>
      <c r="C50" s="253"/>
      <c r="D50" s="254"/>
      <c r="E50" s="255"/>
      <c r="F50" s="255"/>
      <c r="G50" s="255"/>
      <c r="H50" s="255"/>
      <c r="I50" s="255"/>
      <c r="J50" s="255"/>
      <c r="K50" s="255"/>
      <c r="L50" s="255"/>
    </row>
    <row r="51" spans="1:12">
      <c r="A51" s="251">
        <f t="shared" ref="A51:A58" si="5">+A50+1</f>
        <v>30</v>
      </c>
      <c r="B51" s="256" t="s">
        <v>630</v>
      </c>
      <c r="C51" s="253"/>
      <c r="D51" s="254"/>
      <c r="E51" s="2443">
        <v>136776521.84999999</v>
      </c>
      <c r="F51"/>
      <c r="G51" s="255"/>
      <c r="H51" s="255"/>
      <c r="I51" s="255"/>
      <c r="J51" s="255"/>
      <c r="K51" s="255"/>
      <c r="L51" s="255"/>
    </row>
    <row r="52" spans="1:12" ht="28.5" customHeight="1">
      <c r="A52" s="251">
        <f t="shared" si="5"/>
        <v>31</v>
      </c>
      <c r="B52" s="2367" t="str">
        <f>"Less: Total Hedge Gain/Expense Accumulated from p 256-257, col. (i) of FERC Form 1  included in Ln "&amp;A51&amp;" and shown in "&amp;A76&amp;" below."</f>
        <v>Less: Total Hedge Gain/Expense Accumulated from p 256-257, col. (i) of FERC Form 1  included in Ln 30 and shown in 50 below.</v>
      </c>
      <c r="C52" s="2368"/>
      <c r="D52" s="254"/>
      <c r="E52" s="253">
        <f>+C76</f>
        <v>-348478</v>
      </c>
      <c r="F52"/>
      <c r="G52" s="255"/>
      <c r="H52" s="255"/>
      <c r="I52" s="255"/>
      <c r="J52" s="255"/>
      <c r="K52" s="255"/>
      <c r="L52" s="255"/>
    </row>
    <row r="53" spans="1:12" ht="16.5" customHeight="1">
      <c r="A53" s="251">
        <f t="shared" si="5"/>
        <v>32</v>
      </c>
      <c r="B53" s="257" t="str">
        <f>"Plus:  Allowed Hedge Recovery From Ln "&amp;A82&amp;"  below."</f>
        <v>Plus:  Allowed Hedge Recovery From Ln 55  below.</v>
      </c>
      <c r="C53" s="258"/>
      <c r="D53" s="254"/>
      <c r="E53" s="1657">
        <f>+E82</f>
        <v>-348478</v>
      </c>
      <c r="F53"/>
      <c r="G53" s="255"/>
      <c r="H53" s="255"/>
      <c r="I53" s="255"/>
      <c r="J53" s="255"/>
      <c r="K53" s="255"/>
      <c r="L53" s="255"/>
    </row>
    <row r="54" spans="1:12">
      <c r="A54" s="251">
        <f t="shared" si="5"/>
        <v>33</v>
      </c>
      <c r="B54" s="256" t="s">
        <v>671</v>
      </c>
      <c r="C54" s="255"/>
      <c r="D54" s="255"/>
      <c r="E54" s="2443">
        <v>3109219.03</v>
      </c>
      <c r="F54"/>
      <c r="G54" s="255"/>
      <c r="H54" s="255"/>
      <c r="I54" s="255"/>
      <c r="J54" s="255"/>
    </row>
    <row r="55" spans="1:12">
      <c r="A55" s="251">
        <f t="shared" si="5"/>
        <v>34</v>
      </c>
      <c r="B55" s="256" t="s">
        <v>672</v>
      </c>
      <c r="C55" s="259"/>
      <c r="D55" s="254"/>
      <c r="E55" s="2443">
        <v>274113.65000000002</v>
      </c>
      <c r="F55"/>
      <c r="G55" s="255"/>
      <c r="H55" s="255"/>
      <c r="I55" s="255"/>
      <c r="J55" s="255"/>
    </row>
    <row r="56" spans="1:12">
      <c r="A56" s="251">
        <f t="shared" si="5"/>
        <v>35</v>
      </c>
      <c r="B56" s="256" t="s">
        <v>673</v>
      </c>
      <c r="C56" s="259"/>
      <c r="D56" s="254"/>
      <c r="E56" s="2444">
        <v>0</v>
      </c>
      <c r="F56"/>
      <c r="G56" s="255"/>
      <c r="H56" s="255"/>
      <c r="I56" s="255"/>
      <c r="J56" s="255"/>
    </row>
    <row r="57" spans="1:12">
      <c r="A57" s="251">
        <f t="shared" si="5"/>
        <v>36</v>
      </c>
      <c r="B57" s="256" t="s">
        <v>674</v>
      </c>
      <c r="C57" s="259"/>
      <c r="D57" s="254"/>
      <c r="E57" s="2444">
        <v>0</v>
      </c>
      <c r="F57"/>
      <c r="G57" s="255"/>
      <c r="H57" s="255"/>
      <c r="I57" s="255"/>
      <c r="J57" s="255"/>
    </row>
    <row r="58" spans="1:12">
      <c r="A58" s="251">
        <f t="shared" si="5"/>
        <v>37</v>
      </c>
      <c r="B58" s="252" t="str">
        <f>"Total Interest Expense (Ln "&amp;A51&amp;" - "&amp;A52&amp;" + "&amp;A54&amp;" + "&amp;A55&amp;" - "&amp;A56&amp;" - "&amp;A57&amp;")"</f>
        <v>Total Interest Expense (Ln 30 - 31 + 33 + 34 - 35 - 36)</v>
      </c>
      <c r="C58" s="260"/>
      <c r="D58" s="261"/>
      <c r="E58" s="284">
        <f>+E51-E52+E53+E54+E55-E56-E57</f>
        <v>140159854.53</v>
      </c>
      <c r="F58" s="255"/>
      <c r="G58" s="255"/>
      <c r="H58" s="255"/>
      <c r="I58" s="255"/>
      <c r="J58" s="255"/>
    </row>
    <row r="59" spans="1:12" ht="13.5" thickBot="1">
      <c r="A59" s="251"/>
      <c r="B59" s="263"/>
      <c r="C59" s="259"/>
      <c r="D59" s="254"/>
      <c r="E59" s="262"/>
      <c r="F59" s="255"/>
      <c r="G59" s="255"/>
      <c r="H59" s="255"/>
      <c r="I59" s="255"/>
      <c r="J59" s="255"/>
    </row>
    <row r="60" spans="1:12" ht="13.5" thickBot="1">
      <c r="A60" s="251">
        <f>+A58+1</f>
        <v>38</v>
      </c>
      <c r="B60" s="252" t="str">
        <f>"Average Cost of Debt for "&amp;'SWEPCO TCOS'!N2&amp;" (Ln "&amp;A58&amp;"/ ln "&amp;A43&amp;" (g))"</f>
        <v>Average Cost of Debt for 2024 (Ln 37/ ln 28 (g))</v>
      </c>
      <c r="C60" s="260"/>
      <c r="D60" s="254"/>
      <c r="E60" s="264">
        <f>IF(ISERROR(+E58/H43),0,E58/H43)</f>
        <v>3.8138735926530609E-2</v>
      </c>
      <c r="F60" s="255"/>
      <c r="G60" s="255"/>
      <c r="H60" s="255"/>
      <c r="I60" s="255"/>
      <c r="J60" s="255"/>
    </row>
    <row r="61" spans="1:12">
      <c r="A61" s="265"/>
      <c r="B61" s="263"/>
      <c r="C61" s="259"/>
      <c r="D61" s="254"/>
      <c r="E61" s="259"/>
      <c r="F61" s="255"/>
      <c r="G61" s="255"/>
      <c r="H61" s="255"/>
      <c r="I61" s="255"/>
      <c r="J61" s="255"/>
    </row>
    <row r="62" spans="1:12" s="268" customFormat="1" ht="28.5" customHeight="1">
      <c r="A62" s="266"/>
      <c r="B62" s="2369" t="s">
        <v>913</v>
      </c>
      <c r="C62" s="2369"/>
      <c r="D62" s="2369"/>
      <c r="E62" s="2369"/>
      <c r="F62" s="267"/>
    </row>
    <row r="63" spans="1:12" s="268" customFormat="1" ht="65.25" customHeight="1">
      <c r="A63" s="285">
        <f>+A60+1</f>
        <v>39</v>
      </c>
      <c r="B63" s="2366" t="s">
        <v>914</v>
      </c>
      <c r="C63" s="2366"/>
      <c r="D63" s="2366"/>
      <c r="E63" s="2366"/>
      <c r="F63" s="2366"/>
      <c r="G63" s="2366"/>
      <c r="H63" s="2366"/>
    </row>
    <row r="64" spans="1:12" s="268" customFormat="1" ht="12" customHeight="1">
      <c r="A64" s="266"/>
      <c r="B64" s="269"/>
      <c r="C64" s="269"/>
      <c r="D64" s="269"/>
      <c r="E64" s="269"/>
      <c r="G64" s="2370" t="s">
        <v>915</v>
      </c>
      <c r="H64" s="2370"/>
    </row>
    <row r="65" spans="1:10" s="268" customFormat="1" ht="52.5" customHeight="1">
      <c r="A65" s="251"/>
      <c r="B65" s="271" t="s">
        <v>916</v>
      </c>
      <c r="C65" s="272" t="str">
        <f>"Total Hedge (Gain)/Loss for "&amp;'SWEPCO TCOS'!N2</f>
        <v>Total Hedge (Gain)/Loss for 2024</v>
      </c>
      <c r="D65" s="272" t="str">
        <f>"Less Excludable Amounts (See NOTE on Line "&amp;A63&amp;")"</f>
        <v>Less Excludable Amounts (See NOTE on Line 39)</v>
      </c>
      <c r="E65" s="272" t="s">
        <v>917</v>
      </c>
      <c r="F65" s="272" t="s">
        <v>918</v>
      </c>
      <c r="G65" s="272" t="s">
        <v>462</v>
      </c>
      <c r="H65" s="272" t="s">
        <v>464</v>
      </c>
    </row>
    <row r="66" spans="1:10" s="268" customFormat="1" ht="12.75" customHeight="1">
      <c r="A66" s="251">
        <f>+A63+1</f>
        <v>40</v>
      </c>
      <c r="B66" s="287" t="s">
        <v>1630</v>
      </c>
      <c r="C66" s="1658">
        <v>-348478</v>
      </c>
      <c r="D66" s="712"/>
      <c r="E66" s="273">
        <f t="shared" ref="E66:E74" si="6">+C66-D66</f>
        <v>-348478</v>
      </c>
      <c r="F66" s="712">
        <f>$C$66</f>
        <v>-348478</v>
      </c>
      <c r="G66" s="712">
        <f t="shared" ref="G66:H66" si="7">$C$66</f>
        <v>-348478</v>
      </c>
      <c r="H66" s="712">
        <f t="shared" si="7"/>
        <v>-348478</v>
      </c>
      <c r="I66"/>
      <c r="J66" s="208"/>
    </row>
    <row r="67" spans="1:10" s="268" customFormat="1" ht="12.75" customHeight="1">
      <c r="A67" s="251">
        <f t="shared" ref="A67:A76" si="8">+A66+1</f>
        <v>41</v>
      </c>
      <c r="B67" s="287"/>
      <c r="C67" s="1658"/>
      <c r="D67" s="712"/>
      <c r="E67" s="2124">
        <f t="shared" si="6"/>
        <v>0</v>
      </c>
      <c r="F67" s="712"/>
      <c r="G67" s="712"/>
      <c r="H67" s="712"/>
    </row>
    <row r="68" spans="1:10" s="268" customFormat="1" ht="12.75" customHeight="1">
      <c r="A68" s="251">
        <f t="shared" si="8"/>
        <v>42</v>
      </c>
      <c r="B68" s="712"/>
      <c r="C68" s="712"/>
      <c r="D68" s="712"/>
      <c r="E68" s="2124">
        <f t="shared" si="6"/>
        <v>0</v>
      </c>
      <c r="F68" s="712"/>
      <c r="G68" s="712"/>
      <c r="H68" s="712"/>
    </row>
    <row r="69" spans="1:10" s="268" customFormat="1" ht="12.75" customHeight="1">
      <c r="A69" s="251">
        <f t="shared" si="8"/>
        <v>43</v>
      </c>
      <c r="B69" s="712"/>
      <c r="C69" s="712"/>
      <c r="D69" s="712"/>
      <c r="E69" s="2124">
        <f t="shared" si="6"/>
        <v>0</v>
      </c>
      <c r="F69" s="712"/>
      <c r="G69" s="712"/>
      <c r="H69" s="712"/>
    </row>
    <row r="70" spans="1:10" s="268" customFormat="1" ht="12.75" customHeight="1">
      <c r="A70" s="251">
        <f t="shared" si="8"/>
        <v>44</v>
      </c>
      <c r="B70" s="712"/>
      <c r="C70" s="712"/>
      <c r="D70" s="712"/>
      <c r="E70" s="2124">
        <f t="shared" si="6"/>
        <v>0</v>
      </c>
      <c r="F70" s="712"/>
      <c r="G70" s="712"/>
      <c r="H70" s="712"/>
    </row>
    <row r="71" spans="1:10" s="268" customFormat="1" ht="12.75" customHeight="1">
      <c r="A71" s="251">
        <f t="shared" si="8"/>
        <v>45</v>
      </c>
      <c r="B71" s="712"/>
      <c r="C71" s="712"/>
      <c r="D71" s="712"/>
      <c r="E71" s="2124">
        <f t="shared" si="6"/>
        <v>0</v>
      </c>
      <c r="F71" s="712"/>
      <c r="G71" s="712"/>
      <c r="H71" s="712"/>
    </row>
    <row r="72" spans="1:10" s="268" customFormat="1" ht="12.75" customHeight="1">
      <c r="A72" s="251">
        <f t="shared" si="8"/>
        <v>46</v>
      </c>
      <c r="B72" s="712"/>
      <c r="C72" s="712"/>
      <c r="D72" s="712"/>
      <c r="E72" s="2124">
        <f t="shared" si="6"/>
        <v>0</v>
      </c>
      <c r="F72" s="712"/>
      <c r="G72" s="712"/>
      <c r="H72" s="712"/>
    </row>
    <row r="73" spans="1:10" s="268" customFormat="1" ht="12.75" customHeight="1">
      <c r="A73" s="251">
        <f t="shared" si="8"/>
        <v>47</v>
      </c>
      <c r="B73" s="712"/>
      <c r="C73" s="712"/>
      <c r="D73" s="712"/>
      <c r="E73" s="2124">
        <f t="shared" si="6"/>
        <v>0</v>
      </c>
      <c r="F73" s="712"/>
      <c r="G73" s="712"/>
      <c r="H73" s="712"/>
    </row>
    <row r="74" spans="1:10" s="268" customFormat="1" ht="12.75" customHeight="1">
      <c r="A74" s="251">
        <f t="shared" si="8"/>
        <v>48</v>
      </c>
      <c r="B74" s="712"/>
      <c r="C74" s="712"/>
      <c r="D74" s="712"/>
      <c r="E74" s="2124">
        <f t="shared" si="6"/>
        <v>0</v>
      </c>
      <c r="F74" s="712"/>
      <c r="G74" s="712"/>
      <c r="H74" s="712"/>
    </row>
    <row r="75" spans="1:10" s="268" customFormat="1" ht="12.75" customHeight="1">
      <c r="A75" s="251">
        <f t="shared" si="8"/>
        <v>49</v>
      </c>
      <c r="B75" s="208"/>
      <c r="C75" s="274"/>
      <c r="D75" s="274"/>
      <c r="E75" s="2126"/>
      <c r="F75" s="273">
        <f>SUM(F66:F74)</f>
        <v>-348478</v>
      </c>
    </row>
    <row r="76" spans="1:10" s="268" customFormat="1" ht="12.75" customHeight="1">
      <c r="A76" s="251">
        <f t="shared" si="8"/>
        <v>50</v>
      </c>
      <c r="B76" s="263" t="s">
        <v>171</v>
      </c>
      <c r="C76" s="262">
        <f>SUM(C66:C74)</f>
        <v>-348478</v>
      </c>
      <c r="D76" s="2127">
        <f>SUM(D66:D74)</f>
        <v>0</v>
      </c>
      <c r="E76" s="2124"/>
    </row>
    <row r="77" spans="1:10" s="268" customFormat="1" ht="21" customHeight="1">
      <c r="A77" s="251"/>
      <c r="B77" s="263"/>
      <c r="C77" s="262"/>
      <c r="D77" s="262"/>
      <c r="E77" s="262"/>
    </row>
    <row r="78" spans="1:10" s="268" customFormat="1" ht="14.25" customHeight="1">
      <c r="A78" s="251">
        <f>+A76+1</f>
        <v>51</v>
      </c>
      <c r="B78" s="263" t="str">
        <f>"Hedge Gain or Loss Prior to Application of Recovery Limit (Sum of Lines "&amp;A66&amp;" to "&amp;A74&amp;")"</f>
        <v>Hedge Gain or Loss Prior to Application of Recovery Limit (Sum of Lines 40 to 48)</v>
      </c>
      <c r="C78" s="262"/>
      <c r="D78" s="262"/>
      <c r="E78" s="262">
        <f>SUM(E66:E74)</f>
        <v>-348478</v>
      </c>
    </row>
    <row r="79" spans="1:10" s="268" customFormat="1" ht="12.75" customHeight="1">
      <c r="A79" s="251">
        <f>+A78+1</f>
        <v>52</v>
      </c>
      <c r="B79" s="275" t="str">
        <f>"Total Average Capital Structure Balance for "&amp;'SWEPCO TCOS'!N2&amp;" (TCOS, Ln "&amp;'SWEPCO TCOS'!B238&amp;")"</f>
        <v>Total Average Capital Structure Balance for 2024 (TCOS, Ln 144)</v>
      </c>
      <c r="C79" s="259"/>
      <c r="D79" s="254"/>
      <c r="E79" s="276">
        <f>+'SWEPCO TCOS'!E238</f>
        <v>7437289333.3906918</v>
      </c>
      <c r="H79" s="273"/>
    </row>
    <row r="80" spans="1:10" s="268" customFormat="1" ht="12.75" customHeight="1">
      <c r="A80" s="251">
        <f>+A79+1</f>
        <v>53</v>
      </c>
      <c r="B80" s="263" t="s">
        <v>172</v>
      </c>
      <c r="C80" s="259"/>
      <c r="D80" s="254"/>
      <c r="E80" s="277">
        <v>5.0000000000000001E-4</v>
      </c>
      <c r="G80" s="278"/>
    </row>
    <row r="81" spans="1:6" s="268" customFormat="1" ht="12.75" customHeight="1" thickBot="1">
      <c r="A81" s="251">
        <f>+A80+1</f>
        <v>54</v>
      </c>
      <c r="B81" s="263" t="s">
        <v>173</v>
      </c>
      <c r="C81" s="259"/>
      <c r="D81" s="254"/>
      <c r="E81" s="279">
        <f>+E79*E80</f>
        <v>3718644.6666953461</v>
      </c>
    </row>
    <row r="82" spans="1:6" s="268" customFormat="1" ht="12.75" customHeight="1" thickBot="1">
      <c r="A82" s="251">
        <f>+A81+1</f>
        <v>55</v>
      </c>
      <c r="B82" s="252" t="str">
        <f>"Recoverable Hedge Amortization (Lesser of Ln "&amp;A78&amp;" or Ln "&amp;A81&amp;")"</f>
        <v>Recoverable Hedge Amortization (Lesser of Ln 51 or Ln 54)</v>
      </c>
      <c r="C82" s="259"/>
      <c r="D82" s="254"/>
      <c r="E82" s="280">
        <f>+IF(E81&lt;E78,E81,E78)</f>
        <v>-348478</v>
      </c>
    </row>
    <row r="83" spans="1:6" s="268" customFormat="1" ht="12.75" customHeight="1">
      <c r="A83" s="251"/>
      <c r="B83" s="263"/>
      <c r="C83" s="259"/>
      <c r="D83" s="254"/>
      <c r="E83" s="259"/>
    </row>
    <row r="84" spans="1:6" s="268" customFormat="1" ht="12.75" customHeight="1">
      <c r="A84" s="281" t="s">
        <v>174</v>
      </c>
      <c r="B84" s="282"/>
      <c r="C84" s="259"/>
      <c r="D84" s="254"/>
      <c r="E84" s="259"/>
    </row>
    <row r="85" spans="1:6" s="268" customFormat="1" ht="12.75" customHeight="1">
      <c r="A85" s="270"/>
      <c r="B85" s="254"/>
      <c r="C85" s="253"/>
      <c r="D85" s="253"/>
    </row>
    <row r="86" spans="1:6" s="268" customFormat="1" ht="12.75" customHeight="1">
      <c r="A86" s="251">
        <f>+A82+1</f>
        <v>56</v>
      </c>
      <c r="B86" s="254" t="str">
        <f>"Beginning/Ending Average Balance of Preferred Stock (Ln "&amp;A24&amp;" Col. "&amp;D9&amp;")"</f>
        <v>Beginning/Ending Average Balance of Preferred Stock (Ln 14 Col. (c))</v>
      </c>
      <c r="C86"/>
      <c r="D86"/>
      <c r="E86" s="2129">
        <f>+D24</f>
        <v>0</v>
      </c>
      <c r="F86" s="254"/>
    </row>
    <row r="87" spans="1:6" s="268" customFormat="1" ht="12.75" customHeight="1" thickBot="1">
      <c r="A87" s="251">
        <f>+A86+1</f>
        <v>57</v>
      </c>
      <c r="B87" s="254" t="s">
        <v>919</v>
      </c>
      <c r="C87"/>
      <c r="D87"/>
      <c r="E87" s="712"/>
    </row>
    <row r="88" spans="1:6" s="268" customFormat="1" ht="12.75" customHeight="1" thickBot="1">
      <c r="A88" s="251">
        <f>+A87+1</f>
        <v>58</v>
      </c>
      <c r="B88" s="254" t="str">
        <f>"Average Cost of Preferred Stock (Ln "&amp;A87&amp;"/ Ln "&amp;A86&amp;")"</f>
        <v>Average Cost of Preferred Stock (Ln 57/ Ln 56)</v>
      </c>
      <c r="C88"/>
      <c r="D88"/>
      <c r="E88" s="264">
        <f>IF(E86=0,0,+E87/E86)</f>
        <v>0</v>
      </c>
    </row>
    <row r="89" spans="1:6">
      <c r="C89"/>
      <c r="D89"/>
    </row>
    <row r="130" spans="7:7">
      <c r="G130" s="214" t="s">
        <v>254</v>
      </c>
    </row>
    <row r="147" spans="7:12">
      <c r="G147" s="283"/>
      <c r="L147" s="283"/>
    </row>
  </sheetData>
  <mergeCells count="10">
    <mergeCell ref="B52:C52"/>
    <mergeCell ref="B62:E62"/>
    <mergeCell ref="B63:H63"/>
    <mergeCell ref="G64:H64"/>
    <mergeCell ref="A2:H2"/>
    <mergeCell ref="A3:H3"/>
    <mergeCell ref="A4:H4"/>
    <mergeCell ref="A5:H5"/>
    <mergeCell ref="C7:G7"/>
    <mergeCell ref="C26:H26"/>
  </mergeCells>
  <pageMargins left="0.7" right="0.7" top="0.75" bottom="0.75" header="0.3" footer="0.3"/>
  <pageSetup scale="46" fitToHeight="0" orientation="landscape" cellComments="asDisplayed" r:id="rId1"/>
  <headerFooter>
    <oddHeader xml:space="preserve">&amp;L&amp;"Times New Roman,Bold Italic"&amp;12Privileged and Confidential
Subject to FERC Rules 602 and 606&amp;RAEP - SPP Formula Rate
TCOS - WS M 
Page: &amp;P of &amp;N
</oddHeader>
  </headerFooter>
  <rowBreaks count="1" manualBreakCount="1">
    <brk id="45" max="7"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73"/>
  <sheetViews>
    <sheetView topLeftCell="A48" zoomScaleNormal="100" workbookViewId="0">
      <selection activeCell="P64" sqref="P64"/>
    </sheetView>
  </sheetViews>
  <sheetFormatPr defaultColWidth="9.1796875" defaultRowHeight="12.5"/>
  <cols>
    <col min="1" max="1" width="1.54296875" style="286" customWidth="1"/>
    <col min="2" max="2" width="25.1796875" style="286" customWidth="1"/>
    <col min="3" max="3" width="1.54296875" style="286" customWidth="1"/>
    <col min="4" max="4" width="21.453125" style="286" customWidth="1"/>
    <col min="5" max="5" width="1.54296875" style="286" customWidth="1"/>
    <col min="6" max="6" width="22.453125" style="286" customWidth="1"/>
    <col min="7" max="7" width="1.54296875" style="286" customWidth="1"/>
    <col min="8" max="8" width="17.453125" style="286" customWidth="1"/>
    <col min="9" max="9" width="1.54296875" style="286" customWidth="1"/>
    <col min="10" max="10" width="15.54296875" style="286" customWidth="1"/>
    <col min="11" max="11" width="1.54296875" style="286" customWidth="1"/>
    <col min="12" max="12" width="15.81640625" style="286" customWidth="1"/>
    <col min="13" max="13" width="1.54296875" style="286" customWidth="1"/>
    <col min="14" max="14" width="13.54296875" style="286" customWidth="1"/>
    <col min="15" max="15" width="1.54296875" style="286" customWidth="1"/>
    <col min="16" max="16" width="14.1796875" style="286" customWidth="1"/>
    <col min="17" max="17" width="1.54296875" style="286" customWidth="1"/>
    <col min="18" max="18" width="14.453125" style="286" customWidth="1"/>
    <col min="19" max="19" width="7.54296875" style="286" bestFit="1" customWidth="1"/>
    <col min="20" max="20" width="3" style="286" hidden="1" customWidth="1"/>
    <col min="21" max="16384" width="9.1796875" style="286"/>
  </cols>
  <sheetData>
    <row r="1" spans="1:18" ht="15.5">
      <c r="A1" s="18"/>
    </row>
    <row r="2" spans="1:18" ht="15.5">
      <c r="A2" s="342"/>
    </row>
    <row r="3" spans="1:18" ht="15.5">
      <c r="A3" s="342"/>
    </row>
    <row r="4" spans="1:18" ht="15.5">
      <c r="B4" s="2378" t="s">
        <v>644</v>
      </c>
      <c r="C4" s="2378"/>
      <c r="D4" s="2378"/>
      <c r="E4" s="2378"/>
      <c r="F4" s="2378"/>
      <c r="G4" s="2378"/>
      <c r="H4" s="2378"/>
      <c r="I4" s="2378"/>
      <c r="J4" s="2378"/>
      <c r="K4" s="2378"/>
      <c r="L4" s="2378"/>
      <c r="M4" s="2378"/>
      <c r="N4" s="2378"/>
      <c r="O4" s="2378"/>
      <c r="P4" s="2378"/>
      <c r="Q4" s="2378"/>
      <c r="R4" s="2378"/>
    </row>
    <row r="5" spans="1:18" ht="15.5">
      <c r="B5" s="2379" t="str">
        <f>+'SWEPCO WS A-1 - Plant'!A3</f>
        <v xml:space="preserve">Actual / Projected 2024 Rate Year Cost of Service Formula Rate </v>
      </c>
      <c r="C5" s="2379"/>
      <c r="D5" s="2379"/>
      <c r="E5" s="2379"/>
      <c r="F5" s="2379"/>
      <c r="G5" s="2379"/>
      <c r="H5" s="2379"/>
      <c r="I5" s="2379"/>
      <c r="J5" s="2379"/>
      <c r="K5" s="2379"/>
      <c r="L5" s="2379"/>
      <c r="M5" s="2379"/>
      <c r="N5" s="2379"/>
      <c r="O5" s="2379"/>
      <c r="P5" s="2379"/>
      <c r="Q5" s="2379"/>
      <c r="R5" s="2379"/>
    </row>
    <row r="6" spans="1:18" ht="15.5">
      <c r="B6" s="2379" t="s">
        <v>698</v>
      </c>
      <c r="C6" s="2379"/>
      <c r="D6" s="2379"/>
      <c r="E6" s="2379"/>
      <c r="F6" s="2379"/>
      <c r="G6" s="2379"/>
      <c r="H6" s="2379"/>
      <c r="I6" s="2379"/>
      <c r="J6" s="2379"/>
      <c r="K6" s="2379"/>
      <c r="L6" s="2379"/>
      <c r="M6" s="2379"/>
      <c r="N6" s="2379"/>
      <c r="O6" s="2379"/>
      <c r="P6" s="2379"/>
      <c r="Q6" s="2379"/>
      <c r="R6" s="2379"/>
    </row>
    <row r="7" spans="1:18" ht="15.5">
      <c r="B7" s="2340" t="str">
        <f>+'SWEPCO TCOS'!F8</f>
        <v>SOUTHWESTERN ELECTRIC POWER COMPANY</v>
      </c>
      <c r="C7" s="2379"/>
      <c r="D7" s="2379"/>
      <c r="E7" s="2379"/>
      <c r="F7" s="2379"/>
      <c r="G7" s="2379"/>
      <c r="H7" s="2379"/>
      <c r="I7" s="2379"/>
      <c r="J7" s="2379"/>
      <c r="K7" s="2379"/>
      <c r="L7" s="2379"/>
      <c r="M7" s="2379"/>
      <c r="N7" s="2379"/>
      <c r="O7" s="2379"/>
      <c r="P7" s="2379"/>
      <c r="Q7" s="2379"/>
      <c r="R7" s="2379"/>
    </row>
    <row r="8" spans="1:18" ht="16" thickBot="1">
      <c r="B8" s="2091"/>
      <c r="C8" s="482"/>
      <c r="D8" s="482"/>
      <c r="E8" s="482"/>
      <c r="F8" s="482"/>
      <c r="G8" s="482"/>
      <c r="H8" s="482"/>
      <c r="I8" s="482"/>
      <c r="J8" s="482"/>
      <c r="K8" s="482"/>
      <c r="P8" s="482"/>
      <c r="Q8" s="482"/>
      <c r="R8" s="482"/>
    </row>
    <row r="9" spans="1:18" ht="60.75" customHeight="1">
      <c r="B9" s="1230" t="str">
        <f>"True up Revenue Requirement For Year "&amp;J9&amp;" Available May, "&amp;J10&amp; " Net of Schedule 11 Revenue Credits"</f>
        <v>True up Revenue Requirement For Year 2024 Available May, 2025 Net of Schedule 11 Revenue Credits</v>
      </c>
      <c r="C9" s="482"/>
      <c r="D9" s="1230" t="s">
        <v>968</v>
      </c>
      <c r="E9" s="1231"/>
      <c r="F9" s="1232" t="s">
        <v>699</v>
      </c>
      <c r="G9" s="18"/>
      <c r="H9" s="1233" t="s">
        <v>700</v>
      </c>
      <c r="I9" s="482"/>
      <c r="J9" s="1234">
        <f>+'SWEPCO TCOS'!N2</f>
        <v>2024</v>
      </c>
      <c r="K9" s="482"/>
      <c r="P9" s="18"/>
      <c r="Q9" s="18"/>
      <c r="R9" s="18"/>
    </row>
    <row r="10" spans="1:18" ht="15.5">
      <c r="B10" s="1235" t="s">
        <v>254</v>
      </c>
      <c r="C10" s="482"/>
      <c r="D10" s="1235"/>
      <c r="E10" s="1231"/>
      <c r="F10" s="1236"/>
      <c r="G10" s="18"/>
      <c r="H10" s="1237" t="s">
        <v>701</v>
      </c>
      <c r="I10" s="1238"/>
      <c r="J10" s="354">
        <f>J9+1</f>
        <v>2025</v>
      </c>
      <c r="P10" s="18"/>
      <c r="Q10" s="18"/>
      <c r="R10" s="18"/>
    </row>
    <row r="11" spans="1:18" ht="16" thickBot="1">
      <c r="B11" s="490">
        <f>+'Zonal Rates'!M23</f>
        <v>84895526.749874592</v>
      </c>
      <c r="C11" s="491" t="s">
        <v>702</v>
      </c>
      <c r="D11" s="2446">
        <v>79324253.917924985</v>
      </c>
      <c r="E11" s="492" t="s">
        <v>703</v>
      </c>
      <c r="F11" s="493">
        <f>IF(B11=0,0,D11-B11)</f>
        <v>-5571272.8319496065</v>
      </c>
      <c r="G11" s="1239"/>
      <c r="H11" s="1233" t="s">
        <v>704</v>
      </c>
      <c r="I11" s="1240"/>
      <c r="J11" s="1241">
        <f>J10+1</f>
        <v>2026</v>
      </c>
      <c r="P11" s="18"/>
      <c r="Q11" s="18"/>
      <c r="R11" s="18"/>
    </row>
    <row r="12" spans="1:18" ht="15.5">
      <c r="B12" s="1240"/>
      <c r="C12" s="1241"/>
      <c r="D12" s="1241"/>
      <c r="E12" s="1240"/>
      <c r="F12" s="1240"/>
      <c r="G12" s="1240"/>
      <c r="H12" s="18"/>
      <c r="I12" s="18"/>
      <c r="P12" s="18"/>
      <c r="Q12" s="18"/>
      <c r="R12" s="18"/>
    </row>
    <row r="13" spans="1:18" ht="16" thickBot="1">
      <c r="B13" s="1242"/>
      <c r="C13" s="1243"/>
      <c r="D13" s="1242"/>
      <c r="E13" s="1242"/>
      <c r="F13" s="1242"/>
      <c r="G13" s="1242"/>
      <c r="H13" s="1242"/>
      <c r="I13" s="1242"/>
      <c r="J13" s="1242"/>
      <c r="K13" s="1242"/>
      <c r="L13" s="1242"/>
      <c r="M13" s="1242"/>
      <c r="N13" s="1244"/>
      <c r="O13" s="1244"/>
      <c r="P13" s="1244"/>
      <c r="Q13" s="1244"/>
      <c r="R13" s="1244"/>
    </row>
    <row r="14" spans="1:18" ht="15.5">
      <c r="B14" s="1245"/>
      <c r="C14" s="1241"/>
      <c r="D14" s="1240"/>
      <c r="E14" s="1240"/>
      <c r="F14" s="1240"/>
      <c r="G14" s="1240"/>
      <c r="H14" s="1240"/>
      <c r="I14" s="1240"/>
      <c r="J14" s="1240"/>
      <c r="K14" s="1240"/>
      <c r="L14" s="1240"/>
      <c r="M14" s="1240"/>
      <c r="N14" s="18"/>
      <c r="O14" s="18"/>
      <c r="P14" s="18"/>
      <c r="Q14" s="18"/>
      <c r="R14" s="18"/>
    </row>
    <row r="15" spans="1:18" ht="62">
      <c r="B15" s="1246" t="s">
        <v>705</v>
      </c>
      <c r="C15" s="1241"/>
      <c r="D15" s="1246" t="s">
        <v>706</v>
      </c>
      <c r="E15" s="1246"/>
      <c r="F15" s="1246" t="s">
        <v>707</v>
      </c>
      <c r="G15" s="1246"/>
      <c r="H15" s="1246" t="s">
        <v>708</v>
      </c>
      <c r="I15" s="1240"/>
      <c r="J15" s="1247" t="s">
        <v>709</v>
      </c>
      <c r="K15" s="1240"/>
      <c r="L15" s="1246" t="s">
        <v>948</v>
      </c>
      <c r="M15" s="1248"/>
      <c r="N15" s="1247" t="s">
        <v>710</v>
      </c>
      <c r="O15" s="1247"/>
      <c r="P15" s="1246" t="s">
        <v>711</v>
      </c>
      <c r="Q15" s="1249"/>
      <c r="R15" s="1246" t="s">
        <v>712</v>
      </c>
    </row>
    <row r="16" spans="1:18" ht="15.5">
      <c r="B16" s="1250"/>
      <c r="C16" s="1241"/>
      <c r="D16" s="18"/>
      <c r="E16" s="18"/>
      <c r="F16" s="18"/>
      <c r="G16" s="18"/>
      <c r="H16" s="18"/>
      <c r="I16" s="1659"/>
      <c r="J16" s="1659"/>
      <c r="K16" s="1659"/>
      <c r="N16" s="18"/>
      <c r="O16" s="18"/>
      <c r="P16" s="18"/>
      <c r="Q16" s="18"/>
      <c r="R16" s="18"/>
    </row>
    <row r="17" spans="2:20" ht="15.5">
      <c r="B17" s="1252" t="s">
        <v>713</v>
      </c>
      <c r="C17" s="1241"/>
      <c r="D17" s="1241"/>
      <c r="E17" s="1241"/>
      <c r="F17" s="1241"/>
      <c r="G17" s="1241"/>
      <c r="H17" s="1241"/>
      <c r="I17" s="1241"/>
      <c r="J17" s="1241"/>
      <c r="K17" s="1241"/>
      <c r="L17" s="18"/>
      <c r="M17" s="18"/>
      <c r="N17" s="1248"/>
      <c r="O17" s="1248"/>
      <c r="P17" s="1241"/>
      <c r="Q17" s="1241"/>
      <c r="R17" s="1241"/>
    </row>
    <row r="18" spans="2:20" ht="15.5">
      <c r="B18" s="1253" t="s">
        <v>127</v>
      </c>
      <c r="C18" s="1241"/>
      <c r="D18" s="1241"/>
      <c r="E18" s="1241"/>
      <c r="F18" s="1241"/>
      <c r="G18" s="1241"/>
      <c r="H18" s="1241"/>
      <c r="I18" s="1241"/>
      <c r="J18" s="1241"/>
      <c r="K18" s="1241"/>
      <c r="L18" s="18"/>
      <c r="M18" s="18"/>
      <c r="N18" s="1248"/>
      <c r="O18" s="1248"/>
      <c r="P18" s="1241"/>
      <c r="Q18" s="1241"/>
      <c r="R18" s="1241"/>
    </row>
    <row r="19" spans="2:20" ht="15.5">
      <c r="B19" s="1254">
        <f t="shared" ref="B19:B30" si="0">DATE($J$9,T19,1)</f>
        <v>45292</v>
      </c>
      <c r="C19" s="482"/>
      <c r="D19" s="1660">
        <f>F11/12</f>
        <v>-464272.73599580053</v>
      </c>
      <c r="E19" s="1661"/>
      <c r="F19" s="1660">
        <v>0</v>
      </c>
      <c r="G19" s="1660"/>
      <c r="H19" s="1660">
        <v>0</v>
      </c>
      <c r="I19" s="1660"/>
      <c r="J19" s="1660">
        <f>F19+H19</f>
        <v>0</v>
      </c>
      <c r="K19" s="1661"/>
      <c r="L19" s="481">
        <f>+'SWEPCO WS Q Interest Rate'!E13</f>
        <v>7.1999999999999998E-3</v>
      </c>
      <c r="M19" s="482"/>
      <c r="N19" s="1660">
        <f t="shared" ref="N19:N30" si="1">J19*L19</f>
        <v>0</v>
      </c>
      <c r="O19" s="1660"/>
      <c r="P19" s="1660"/>
      <c r="Q19" s="1660"/>
      <c r="R19" s="1660">
        <f>D19+N19</f>
        <v>-464272.73599580053</v>
      </c>
      <c r="T19" s="286">
        <v>1</v>
      </c>
    </row>
    <row r="20" spans="2:20" ht="15.5">
      <c r="B20" s="1254">
        <f t="shared" si="0"/>
        <v>45323</v>
      </c>
      <c r="C20" s="482"/>
      <c r="D20" s="1660">
        <f>+D19</f>
        <v>-464272.73599580053</v>
      </c>
      <c r="E20" s="1661"/>
      <c r="F20" s="1660">
        <f>D19</f>
        <v>-464272.73599580053</v>
      </c>
      <c r="G20" s="1660"/>
      <c r="H20" s="1660">
        <v>0</v>
      </c>
      <c r="I20" s="1660"/>
      <c r="J20" s="1660">
        <f t="shared" ref="J20:J29" si="2">F20+H20</f>
        <v>-464272.73599580053</v>
      </c>
      <c r="K20" s="1661"/>
      <c r="L20" s="481">
        <f>+'SWEPCO WS Q Interest Rate'!E14</f>
        <v>6.7999999999999996E-3</v>
      </c>
      <c r="M20" s="482"/>
      <c r="N20" s="1660">
        <f t="shared" si="1"/>
        <v>-3157.0546047714433</v>
      </c>
      <c r="O20" s="1660"/>
      <c r="P20" s="1660"/>
      <c r="Q20" s="1660"/>
      <c r="R20" s="1660">
        <f>SUM($D$19:D20)+SUM($N$19:N20)</f>
        <v>-931702.52659637248</v>
      </c>
      <c r="T20" s="286">
        <v>2</v>
      </c>
    </row>
    <row r="21" spans="2:20" ht="15.5">
      <c r="B21" s="1254">
        <f t="shared" si="0"/>
        <v>45352</v>
      </c>
      <c r="C21" s="482"/>
      <c r="D21" s="1660">
        <f>+D20</f>
        <v>-464272.73599580053</v>
      </c>
      <c r="E21" s="1661"/>
      <c r="F21" s="1660">
        <f>D20+F20</f>
        <v>-928545.47199160105</v>
      </c>
      <c r="G21" s="1660"/>
      <c r="H21" s="1660">
        <v>0</v>
      </c>
      <c r="I21" s="1660"/>
      <c r="J21" s="1660">
        <f t="shared" si="2"/>
        <v>-928545.47199160105</v>
      </c>
      <c r="K21" s="1661"/>
      <c r="L21" s="481">
        <f>+'SWEPCO WS Q Interest Rate'!E15</f>
        <v>7.1999999999999998E-3</v>
      </c>
      <c r="M21" s="482"/>
      <c r="N21" s="1660">
        <f t="shared" si="1"/>
        <v>-6685.5273983395273</v>
      </c>
      <c r="O21" s="1660"/>
      <c r="P21" s="1660"/>
      <c r="Q21" s="1660"/>
      <c r="R21" s="1660">
        <f>SUM($D$19:D21)+SUM($N$19:N21)</f>
        <v>-1402660.7899905127</v>
      </c>
      <c r="T21" s="286">
        <v>3</v>
      </c>
    </row>
    <row r="22" spans="2:20" ht="15.5">
      <c r="B22" s="1254">
        <f t="shared" si="0"/>
        <v>45383</v>
      </c>
      <c r="C22" s="482"/>
      <c r="D22" s="1660">
        <f>+D21</f>
        <v>-464272.73599580053</v>
      </c>
      <c r="E22" s="1661"/>
      <c r="F22" s="1660">
        <f t="shared" ref="F22:F28" si="3">D21+F21</f>
        <v>-1392818.2079874016</v>
      </c>
      <c r="G22" s="1660"/>
      <c r="H22" s="1660">
        <f>SUM($N$19:$N$21)</f>
        <v>-9842.5820031109706</v>
      </c>
      <c r="I22" s="1660"/>
      <c r="J22" s="1660">
        <f t="shared" si="2"/>
        <v>-1402660.7899905127</v>
      </c>
      <c r="K22" s="1661"/>
      <c r="L22" s="481">
        <f>+'SWEPCO WS Q Interest Rate'!E16</f>
        <v>7.0000000000000001E-3</v>
      </c>
      <c r="M22" s="482"/>
      <c r="N22" s="1660">
        <f t="shared" si="1"/>
        <v>-9818.625529933588</v>
      </c>
      <c r="O22" s="1660"/>
      <c r="P22" s="1660"/>
      <c r="Q22" s="1660"/>
      <c r="R22" s="1660">
        <f>SUM($D$19:D22)+SUM($N$19:N22)</f>
        <v>-1876752.1515162466</v>
      </c>
      <c r="T22" s="286">
        <v>4</v>
      </c>
    </row>
    <row r="23" spans="2:20" ht="15.5">
      <c r="B23" s="1254">
        <f t="shared" si="0"/>
        <v>45413</v>
      </c>
      <c r="C23" s="482"/>
      <c r="D23" s="1660">
        <f t="shared" ref="D23:D28" si="4">+D22</f>
        <v>-464272.73599580053</v>
      </c>
      <c r="E23" s="1661"/>
      <c r="F23" s="1660">
        <f t="shared" si="3"/>
        <v>-1857090.9439832021</v>
      </c>
      <c r="G23" s="1660"/>
      <c r="H23" s="1660">
        <f t="shared" ref="H23:H24" si="5">SUM($N$19:$N$21)</f>
        <v>-9842.5820031109706</v>
      </c>
      <c r="I23" s="1660"/>
      <c r="J23" s="1660">
        <f t="shared" si="2"/>
        <v>-1866933.5259863131</v>
      </c>
      <c r="K23" s="1661"/>
      <c r="L23" s="481">
        <f>+'SWEPCO WS Q Interest Rate'!E17</f>
        <v>7.1999999999999998E-3</v>
      </c>
      <c r="M23" s="482"/>
      <c r="N23" s="1660">
        <f t="shared" si="1"/>
        <v>-13441.921387101454</v>
      </c>
      <c r="O23" s="1660"/>
      <c r="P23" s="1660"/>
      <c r="Q23" s="1660"/>
      <c r="R23" s="1660">
        <f>SUM($D$19:D23)+SUM($N$19:N23)</f>
        <v>-2354466.8088991484</v>
      </c>
      <c r="T23" s="286">
        <v>5</v>
      </c>
    </row>
    <row r="24" spans="2:20" ht="15.5">
      <c r="B24" s="1254">
        <f t="shared" si="0"/>
        <v>45444</v>
      </c>
      <c r="C24" s="482"/>
      <c r="D24" s="1660">
        <f t="shared" si="4"/>
        <v>-464272.73599580053</v>
      </c>
      <c r="E24" s="1661"/>
      <c r="F24" s="1660">
        <f t="shared" si="3"/>
        <v>-2321363.6799790026</v>
      </c>
      <c r="G24" s="1660"/>
      <c r="H24" s="1660">
        <f t="shared" si="5"/>
        <v>-9842.5820031109706</v>
      </c>
      <c r="I24" s="1660"/>
      <c r="J24" s="1660">
        <f t="shared" si="2"/>
        <v>-2331206.2619821136</v>
      </c>
      <c r="K24" s="1661"/>
      <c r="L24" s="481">
        <f>+'SWEPCO WS Q Interest Rate'!E18</f>
        <v>7.0000000000000001E-3</v>
      </c>
      <c r="M24" s="482"/>
      <c r="N24" s="1660">
        <f t="shared" si="1"/>
        <v>-16318.443833874795</v>
      </c>
      <c r="O24" s="1660"/>
      <c r="P24" s="1660"/>
      <c r="Q24" s="1660"/>
      <c r="R24" s="1660">
        <f>SUM($D$19:D24)+SUM($N$19:N24)</f>
        <v>-2835057.9887288241</v>
      </c>
      <c r="T24" s="286">
        <v>6</v>
      </c>
    </row>
    <row r="25" spans="2:20" ht="15.5">
      <c r="B25" s="1254">
        <f t="shared" si="0"/>
        <v>45474</v>
      </c>
      <c r="C25" s="482"/>
      <c r="D25" s="1660">
        <f t="shared" si="4"/>
        <v>-464272.73599580053</v>
      </c>
      <c r="E25" s="1661"/>
      <c r="F25" s="1660">
        <f t="shared" si="3"/>
        <v>-2785636.4159748033</v>
      </c>
      <c r="G25" s="1660"/>
      <c r="H25" s="1660">
        <f>$H$24+SUM($N$22:$N$24)</f>
        <v>-49421.572754020803</v>
      </c>
      <c r="I25" s="1660"/>
      <c r="J25" s="1660">
        <f t="shared" si="2"/>
        <v>-2835057.9887288241</v>
      </c>
      <c r="K25" s="1661"/>
      <c r="L25" s="481">
        <f>+'SWEPCO WS Q Interest Rate'!E19</f>
        <v>7.1999999999999998E-3</v>
      </c>
      <c r="M25" s="482"/>
      <c r="N25" s="1660">
        <f t="shared" si="1"/>
        <v>-20412.417518847531</v>
      </c>
      <c r="O25" s="1660"/>
      <c r="P25" s="1660"/>
      <c r="Q25" s="1660"/>
      <c r="R25" s="1660">
        <f>SUM($D$19:D25)+SUM($N$19:N25)</f>
        <v>-3319743.1422434724</v>
      </c>
      <c r="T25" s="286">
        <v>7</v>
      </c>
    </row>
    <row r="26" spans="2:20" ht="15.5">
      <c r="B26" s="1254">
        <f t="shared" si="0"/>
        <v>45505</v>
      </c>
      <c r="C26" s="482"/>
      <c r="D26" s="1660">
        <f t="shared" si="4"/>
        <v>-464272.73599580053</v>
      </c>
      <c r="E26" s="1661"/>
      <c r="F26" s="1660">
        <f t="shared" si="3"/>
        <v>-3249909.151970604</v>
      </c>
      <c r="G26" s="1660"/>
      <c r="H26" s="1660">
        <f>$H$24+SUM($N$22:$N$24)</f>
        <v>-49421.572754020803</v>
      </c>
      <c r="I26" s="1660"/>
      <c r="J26" s="1660">
        <f t="shared" si="2"/>
        <v>-3299330.7247246248</v>
      </c>
      <c r="K26" s="1661"/>
      <c r="L26" s="481">
        <f>+'SWEPCO WS Q Interest Rate'!E20</f>
        <v>7.1999999999999998E-3</v>
      </c>
      <c r="M26" s="482"/>
      <c r="N26" s="1660">
        <f t="shared" si="1"/>
        <v>-23755.181218017296</v>
      </c>
      <c r="O26" s="1660"/>
      <c r="P26" s="1660"/>
      <c r="Q26" s="1660"/>
      <c r="R26" s="1660">
        <f>SUM($D$19:D26)+SUM($N$19:N26)</f>
        <v>-3807771.0594572905</v>
      </c>
      <c r="T26" s="286">
        <v>8</v>
      </c>
    </row>
    <row r="27" spans="2:20" ht="15.5">
      <c r="B27" s="1254">
        <f t="shared" si="0"/>
        <v>45536</v>
      </c>
      <c r="C27" s="482"/>
      <c r="D27" s="1660">
        <f t="shared" si="4"/>
        <v>-464272.73599580053</v>
      </c>
      <c r="E27" s="1661"/>
      <c r="F27" s="1660">
        <f t="shared" si="3"/>
        <v>-3714181.8879664047</v>
      </c>
      <c r="G27" s="1660"/>
      <c r="H27" s="1660">
        <f>$H$24+SUM($N$22:$N$24)</f>
        <v>-49421.572754020803</v>
      </c>
      <c r="I27" s="1660"/>
      <c r="J27" s="1660">
        <f t="shared" si="2"/>
        <v>-3763603.4607204255</v>
      </c>
      <c r="K27" s="1661"/>
      <c r="L27" s="481">
        <f>+'SWEPCO WS Q Interest Rate'!E21</f>
        <v>7.0000000000000001E-3</v>
      </c>
      <c r="M27" s="482"/>
      <c r="N27" s="1660">
        <f t="shared" si="1"/>
        <v>-26345.224225042977</v>
      </c>
      <c r="O27" s="1660"/>
      <c r="P27" s="1660"/>
      <c r="Q27" s="1660"/>
      <c r="R27" s="1660">
        <f>SUM($D$19:D27)+SUM($N$19:N27)</f>
        <v>-4298389.0196781335</v>
      </c>
      <c r="T27" s="286">
        <v>9</v>
      </c>
    </row>
    <row r="28" spans="2:20" ht="15.5">
      <c r="B28" s="1254">
        <f t="shared" si="0"/>
        <v>45566</v>
      </c>
      <c r="C28" s="482"/>
      <c r="D28" s="1660">
        <f t="shared" si="4"/>
        <v>-464272.73599580053</v>
      </c>
      <c r="E28" s="1661"/>
      <c r="F28" s="1660">
        <f t="shared" si="3"/>
        <v>-4178454.6239622054</v>
      </c>
      <c r="G28" s="1660"/>
      <c r="H28" s="1660">
        <f>$H$27+SUM($N$25:$N$27)</f>
        <v>-119934.39571592861</v>
      </c>
      <c r="I28" s="1660"/>
      <c r="J28" s="1660">
        <f t="shared" si="2"/>
        <v>-4298389.0196781335</v>
      </c>
      <c r="K28" s="1661"/>
      <c r="L28" s="481">
        <f>+'SWEPCO WS Q Interest Rate'!E22</f>
        <v>7.1999999999999998E-3</v>
      </c>
      <c r="M28" s="482"/>
      <c r="N28" s="1660">
        <f t="shared" si="1"/>
        <v>-30948.400941682561</v>
      </c>
      <c r="O28" s="1660"/>
      <c r="P28" s="1660"/>
      <c r="Q28" s="1660"/>
      <c r="R28" s="1660">
        <f>SUM($D$19:D28)+SUM($N$19:N28)</f>
        <v>-4793610.1566156177</v>
      </c>
      <c r="T28" s="286">
        <v>10</v>
      </c>
    </row>
    <row r="29" spans="2:20" ht="15.5">
      <c r="B29" s="1254">
        <f t="shared" si="0"/>
        <v>45597</v>
      </c>
      <c r="C29" s="482"/>
      <c r="D29" s="1660">
        <f>+D28</f>
        <v>-464272.73599580053</v>
      </c>
      <c r="E29" s="1661"/>
      <c r="F29" s="1660">
        <f>D28+F28</f>
        <v>-4642727.3599580061</v>
      </c>
      <c r="G29" s="1660"/>
      <c r="H29" s="1660">
        <f>$H$27+SUM($N$25:$N$27)</f>
        <v>-119934.39571592861</v>
      </c>
      <c r="I29" s="1660"/>
      <c r="J29" s="1660">
        <f t="shared" si="2"/>
        <v>-4762661.7556739347</v>
      </c>
      <c r="K29" s="1661"/>
      <c r="L29" s="481">
        <f>+'SWEPCO WS Q Interest Rate'!E23</f>
        <v>7.0000000000000001E-3</v>
      </c>
      <c r="M29" s="482"/>
      <c r="N29" s="1660">
        <f t="shared" si="1"/>
        <v>-33338.632289717541</v>
      </c>
      <c r="O29" s="1660"/>
      <c r="P29" s="1660"/>
      <c r="Q29" s="1660"/>
      <c r="R29" s="1660">
        <f>SUM($D$19:D29)+SUM($N$19:N29)</f>
        <v>-5291221.5249011349</v>
      </c>
      <c r="T29" s="286">
        <v>11</v>
      </c>
    </row>
    <row r="30" spans="2:20" ht="15.5">
      <c r="B30" s="1254">
        <f t="shared" si="0"/>
        <v>45627</v>
      </c>
      <c r="C30" s="482"/>
      <c r="D30" s="1660">
        <f>+D29</f>
        <v>-464272.73599580053</v>
      </c>
      <c r="E30" s="1661"/>
      <c r="F30" s="1660">
        <f>D29+F29</f>
        <v>-5107000.0959538063</v>
      </c>
      <c r="G30" s="1660"/>
      <c r="H30" s="1660">
        <f>$H$27+SUM($N$25:$N$27)</f>
        <v>-119934.39571592861</v>
      </c>
      <c r="I30" s="1660"/>
      <c r="J30" s="1660">
        <f>F30+H30</f>
        <v>-5226934.4916697349</v>
      </c>
      <c r="K30" s="1661"/>
      <c r="L30" s="481">
        <f>+'SWEPCO WS Q Interest Rate'!E24</f>
        <v>7.1999999999999998E-3</v>
      </c>
      <c r="M30" s="482"/>
      <c r="N30" s="1660">
        <f t="shared" si="1"/>
        <v>-37633.928340022088</v>
      </c>
      <c r="O30" s="1662"/>
      <c r="P30" s="1660"/>
      <c r="Q30" s="1660"/>
      <c r="R30" s="1660">
        <f>SUM($D$19:D30)+SUM($N$19:N30)</f>
        <v>-5793128.1892369576</v>
      </c>
      <c r="T30" s="286">
        <v>12</v>
      </c>
    </row>
    <row r="31" spans="2:20" ht="15.5">
      <c r="B31" s="482"/>
      <c r="C31" s="482"/>
      <c r="D31" s="1660"/>
      <c r="E31" s="1661"/>
      <c r="F31" s="1660"/>
      <c r="G31" s="1660"/>
      <c r="H31" s="1660"/>
      <c r="I31" s="1660"/>
      <c r="J31" s="1660"/>
      <c r="K31" s="1661"/>
      <c r="L31" s="1241"/>
      <c r="M31" s="482"/>
      <c r="N31" s="1662"/>
      <c r="O31" s="1662"/>
      <c r="P31" s="1660"/>
      <c r="Q31" s="1660"/>
      <c r="R31" s="1663"/>
    </row>
    <row r="32" spans="2:20" ht="15.5">
      <c r="B32" s="1253" t="s">
        <v>714</v>
      </c>
      <c r="C32" s="482"/>
      <c r="D32" s="1660"/>
      <c r="E32" s="1661"/>
      <c r="F32" s="1660"/>
      <c r="G32" s="1660"/>
      <c r="H32" s="1660"/>
      <c r="I32" s="1660"/>
      <c r="J32" s="1660"/>
      <c r="K32" s="1661"/>
      <c r="L32" s="1241"/>
      <c r="M32" s="482"/>
      <c r="N32" s="1660"/>
      <c r="O32" s="1660"/>
      <c r="P32" s="1660" t="s">
        <v>254</v>
      </c>
      <c r="Q32" s="1660"/>
      <c r="R32" s="1664"/>
    </row>
    <row r="33" spans="2:20" ht="15.5">
      <c r="B33" s="1254">
        <f t="shared" ref="B33:B44" si="6">DATE($J$10,T33,1)</f>
        <v>45658</v>
      </c>
      <c r="C33" s="482"/>
      <c r="D33" s="1660">
        <v>0</v>
      </c>
      <c r="E33" s="1661"/>
      <c r="F33" s="1660">
        <f>D30+F30</f>
        <v>-5571272.8319496065</v>
      </c>
      <c r="G33" s="1660"/>
      <c r="H33" s="1660">
        <f>$H$30+SUM($N$28:$N$30)</f>
        <v>-221855.35728735081</v>
      </c>
      <c r="I33" s="1660"/>
      <c r="J33" s="1660">
        <f>F33+H33</f>
        <v>-5793128.1892369576</v>
      </c>
      <c r="K33" s="1661"/>
      <c r="L33" s="481">
        <f>+'SWEPCO WS Q Interest Rate'!E25</f>
        <v>6.7999999999999996E-3</v>
      </c>
      <c r="M33" s="482"/>
      <c r="N33" s="1660">
        <f t="shared" ref="N33:N44" si="7">J33*L33</f>
        <v>-39393.271686811313</v>
      </c>
      <c r="O33" s="1660"/>
      <c r="P33" s="1660"/>
      <c r="Q33" s="1660"/>
      <c r="R33" s="1660">
        <f>SUM($D$19:D33)+SUM($N$19:N33)</f>
        <v>-5832521.4609237686</v>
      </c>
      <c r="T33" s="286">
        <v>1</v>
      </c>
    </row>
    <row r="34" spans="2:20" ht="15.5">
      <c r="B34" s="1254">
        <f t="shared" si="6"/>
        <v>45689</v>
      </c>
      <c r="C34" s="482"/>
      <c r="D34" s="1660">
        <v>0</v>
      </c>
      <c r="E34" s="1661"/>
      <c r="F34" s="1660">
        <f>D33+F33</f>
        <v>-5571272.8319496065</v>
      </c>
      <c r="G34" s="1660"/>
      <c r="H34" s="1660">
        <f>$H$30+SUM($N$28:$N$30)</f>
        <v>-221855.35728735081</v>
      </c>
      <c r="I34" s="1660"/>
      <c r="J34" s="1660">
        <f>F34+H34</f>
        <v>-5793128.1892369576</v>
      </c>
      <c r="K34" s="1661"/>
      <c r="L34" s="481">
        <f>+'SWEPCO WS Q Interest Rate'!E26</f>
        <v>6.1999999999999998E-3</v>
      </c>
      <c r="M34" s="482"/>
      <c r="N34" s="1660">
        <f t="shared" si="7"/>
        <v>-35917.394773269138</v>
      </c>
      <c r="O34" s="1660"/>
      <c r="P34" s="1660"/>
      <c r="Q34" s="1660"/>
      <c r="R34" s="1660">
        <f>SUM($D$19:D34)+SUM($N$19:N34)</f>
        <v>-5868438.8556970377</v>
      </c>
      <c r="T34" s="286">
        <v>2</v>
      </c>
    </row>
    <row r="35" spans="2:20" ht="15.5">
      <c r="B35" s="1254">
        <f t="shared" si="6"/>
        <v>45717</v>
      </c>
      <c r="C35" s="482"/>
      <c r="D35" s="1660">
        <v>0</v>
      </c>
      <c r="E35" s="1661"/>
      <c r="F35" s="1660">
        <f t="shared" ref="F35:F43" si="8">D34+F34</f>
        <v>-5571272.8319496065</v>
      </c>
      <c r="G35" s="1660"/>
      <c r="H35" s="1660">
        <f>$H$30+SUM($N$28:$N$30)</f>
        <v>-221855.35728735081</v>
      </c>
      <c r="I35" s="1660"/>
      <c r="J35" s="1660">
        <f t="shared" ref="J35:J41" si="9">F35+H35</f>
        <v>-5793128.1892369576</v>
      </c>
      <c r="K35" s="1661"/>
      <c r="L35" s="481">
        <f>+'SWEPCO WS Q Interest Rate'!E27</f>
        <v>6.7999999999999996E-3</v>
      </c>
      <c r="M35" s="482"/>
      <c r="N35" s="1660">
        <f t="shared" si="7"/>
        <v>-39393.271686811313</v>
      </c>
      <c r="O35" s="1660"/>
      <c r="P35" s="1660"/>
      <c r="Q35" s="1660"/>
      <c r="R35" s="1660">
        <f>SUM($D$19:D35)+SUM($N$19:N35)</f>
        <v>-5907832.1273838487</v>
      </c>
      <c r="T35" s="286">
        <v>3</v>
      </c>
    </row>
    <row r="36" spans="2:20" ht="15.5">
      <c r="B36" s="1254">
        <f t="shared" si="6"/>
        <v>45748</v>
      </c>
      <c r="C36" s="482"/>
      <c r="D36" s="1660">
        <v>0</v>
      </c>
      <c r="E36" s="1661"/>
      <c r="F36" s="1660">
        <f t="shared" si="8"/>
        <v>-5571272.8319496065</v>
      </c>
      <c r="G36" s="1660"/>
      <c r="H36" s="1660">
        <f>$H$35+SUM($N$33:$N$35)</f>
        <v>-336559.29543424258</v>
      </c>
      <c r="I36" s="1660"/>
      <c r="J36" s="1660">
        <f>F36+H36</f>
        <v>-5907832.1273838487</v>
      </c>
      <c r="K36" s="1661"/>
      <c r="L36" s="481">
        <f>+'SWEPCO WS Q Interest Rate'!E28</f>
        <v>6.1999999999999998E-3</v>
      </c>
      <c r="M36" s="482"/>
      <c r="N36" s="1660">
        <f t="shared" si="7"/>
        <v>-36628.559189779859</v>
      </c>
      <c r="O36" s="1660"/>
      <c r="P36" s="1660"/>
      <c r="Q36" s="1660"/>
      <c r="R36" s="1660">
        <f>SUM($D$19:D36)+SUM($N$19:N36)</f>
        <v>-5944460.6865736293</v>
      </c>
      <c r="T36" s="286">
        <v>4</v>
      </c>
    </row>
    <row r="37" spans="2:20" ht="15.5">
      <c r="B37" s="1254">
        <f t="shared" si="6"/>
        <v>45778</v>
      </c>
      <c r="C37" s="482"/>
      <c r="D37" s="1660">
        <v>0</v>
      </c>
      <c r="E37" s="1661"/>
      <c r="F37" s="1660">
        <f t="shared" si="8"/>
        <v>-5571272.8319496065</v>
      </c>
      <c r="G37" s="1660"/>
      <c r="H37" s="1660">
        <f>$H$35+SUM($N$33:$N$35)</f>
        <v>-336559.29543424258</v>
      </c>
      <c r="I37" s="1660"/>
      <c r="J37" s="1660">
        <f t="shared" si="9"/>
        <v>-5907832.1273838487</v>
      </c>
      <c r="K37" s="1661"/>
      <c r="L37" s="481">
        <f>+'SWEPCO WS Q Interest Rate'!E29</f>
        <v>6.4000000000000003E-3</v>
      </c>
      <c r="M37" s="482"/>
      <c r="N37" s="1660">
        <f t="shared" si="7"/>
        <v>-37810.125615256635</v>
      </c>
      <c r="O37" s="1660"/>
      <c r="P37" s="1660"/>
      <c r="Q37" s="1660"/>
      <c r="R37" s="1660">
        <f>SUM($D$19:D37)+SUM($N$19:N37)</f>
        <v>-5982270.8121888861</v>
      </c>
      <c r="T37" s="286">
        <v>5</v>
      </c>
    </row>
    <row r="38" spans="2:20" ht="15.5">
      <c r="B38" s="1254">
        <f t="shared" si="6"/>
        <v>45809</v>
      </c>
      <c r="C38" s="482"/>
      <c r="D38" s="1660">
        <v>0</v>
      </c>
      <c r="E38" s="1661"/>
      <c r="F38" s="1660">
        <f t="shared" si="8"/>
        <v>-5571272.8319496065</v>
      </c>
      <c r="G38" s="1660"/>
      <c r="H38" s="1660">
        <f>$H$35+SUM($N$33:$N$35)</f>
        <v>-336559.29543424258</v>
      </c>
      <c r="I38" s="1660"/>
      <c r="J38" s="1660">
        <f t="shared" si="9"/>
        <v>-5907832.1273838487</v>
      </c>
      <c r="K38" s="1661"/>
      <c r="L38" s="481">
        <f>+'SWEPCO WS Q Interest Rate'!E30</f>
        <v>6.1999999999999998E-3</v>
      </c>
      <c r="M38" s="482"/>
      <c r="N38" s="1660">
        <f t="shared" si="7"/>
        <v>-36628.559189779859</v>
      </c>
      <c r="O38" s="1660"/>
      <c r="P38" s="1660"/>
      <c r="Q38" s="1660"/>
      <c r="R38" s="1660">
        <f>SUM($D$19:D38)+SUM($N$19:N38)</f>
        <v>-6018899.3713786658</v>
      </c>
      <c r="T38" s="286">
        <v>6</v>
      </c>
    </row>
    <row r="39" spans="2:20" ht="15.5">
      <c r="B39" s="1254">
        <f t="shared" si="6"/>
        <v>45839</v>
      </c>
      <c r="C39" s="482"/>
      <c r="D39" s="1660">
        <v>0</v>
      </c>
      <c r="E39" s="1661"/>
      <c r="F39" s="1660">
        <f t="shared" si="8"/>
        <v>-5571272.8319496065</v>
      </c>
      <c r="G39" s="1660"/>
      <c r="H39" s="1660">
        <f>$H$38+SUM($N$36:$N$38)</f>
        <v>-447626.5394290589</v>
      </c>
      <c r="I39" s="1660"/>
      <c r="J39" s="1660">
        <f>F39+H39</f>
        <v>-6018899.3713786658</v>
      </c>
      <c r="K39" s="1661"/>
      <c r="L39" s="481">
        <f>+'SWEPCO WS Q Interest Rate'!E31</f>
        <v>6.1999999999999998E-3</v>
      </c>
      <c r="M39" s="482"/>
      <c r="N39" s="1660">
        <f t="shared" si="7"/>
        <v>-37317.176102547724</v>
      </c>
      <c r="O39" s="1660"/>
      <c r="P39" s="1660"/>
      <c r="Q39" s="1660"/>
      <c r="R39" s="1660">
        <f>SUM($D$19:D39)+SUM($N$19:N39)</f>
        <v>-6056216.5474812128</v>
      </c>
      <c r="T39" s="286">
        <v>7</v>
      </c>
    </row>
    <row r="40" spans="2:20" ht="15.5">
      <c r="B40" s="1254">
        <f t="shared" si="6"/>
        <v>45870</v>
      </c>
      <c r="C40" s="482"/>
      <c r="D40" s="1660">
        <v>0</v>
      </c>
      <c r="E40" s="1661"/>
      <c r="F40" s="1660">
        <f t="shared" si="8"/>
        <v>-5571272.8319496065</v>
      </c>
      <c r="G40" s="1660"/>
      <c r="H40" s="1660">
        <f>$H$38+SUM($N$36:$N$38)</f>
        <v>-447626.5394290589</v>
      </c>
      <c r="I40" s="1660"/>
      <c r="J40" s="1660">
        <f t="shared" si="9"/>
        <v>-6018899.3713786658</v>
      </c>
      <c r="K40" s="1661"/>
      <c r="L40" s="481">
        <f>+'SWEPCO WS Q Interest Rate'!E32</f>
        <v>6.1999999999999998E-3</v>
      </c>
      <c r="M40" s="482"/>
      <c r="N40" s="1660">
        <f t="shared" si="7"/>
        <v>-37317.176102547724</v>
      </c>
      <c r="O40" s="1660"/>
      <c r="P40" s="1660"/>
      <c r="Q40" s="1660"/>
      <c r="R40" s="1660">
        <f>SUM($D$19:D40)+SUM($N$19:N40)</f>
        <v>-6093533.7235837607</v>
      </c>
      <c r="T40" s="286">
        <v>8</v>
      </c>
    </row>
    <row r="41" spans="2:20" ht="15.5">
      <c r="B41" s="1254">
        <f t="shared" si="6"/>
        <v>45901</v>
      </c>
      <c r="C41" s="482"/>
      <c r="D41" s="1660">
        <v>0</v>
      </c>
      <c r="E41" s="1661"/>
      <c r="F41" s="1660">
        <f t="shared" si="8"/>
        <v>-5571272.8319496065</v>
      </c>
      <c r="G41" s="1660"/>
      <c r="H41" s="1660">
        <f>$H$38+SUM($N$36:$N$38)</f>
        <v>-447626.5394290589</v>
      </c>
      <c r="I41" s="1660"/>
      <c r="J41" s="1660">
        <f t="shared" si="9"/>
        <v>-6018899.3713786658</v>
      </c>
      <c r="K41" s="1661"/>
      <c r="L41" s="481">
        <f>+'SWEPCO WS Q Interest Rate'!E33</f>
        <v>6.1999999999999998E-3</v>
      </c>
      <c r="M41" s="482"/>
      <c r="N41" s="1660">
        <f t="shared" si="7"/>
        <v>-37317.176102547724</v>
      </c>
      <c r="O41" s="1660"/>
      <c r="P41" s="1660"/>
      <c r="Q41" s="1660"/>
      <c r="R41" s="1660">
        <f>SUM($D$19:D41)+SUM($N$19:N41)</f>
        <v>-6130850.8996863086</v>
      </c>
      <c r="T41" s="286">
        <v>9</v>
      </c>
    </row>
    <row r="42" spans="2:20" ht="15.5">
      <c r="B42" s="1254">
        <f t="shared" si="6"/>
        <v>45931</v>
      </c>
      <c r="C42" s="482"/>
      <c r="D42" s="1660">
        <v>0</v>
      </c>
      <c r="E42" s="1661"/>
      <c r="F42" s="1660">
        <f t="shared" si="8"/>
        <v>-5571272.8319496065</v>
      </c>
      <c r="G42" s="1660"/>
      <c r="H42" s="1660">
        <f>$H$41+SUM($N$39:$N$41)</f>
        <v>-559578.06773670204</v>
      </c>
      <c r="I42" s="1660"/>
      <c r="J42" s="1660">
        <f>F42+H42</f>
        <v>-6130850.8996863086</v>
      </c>
      <c r="K42" s="1661"/>
      <c r="L42" s="481">
        <f>+'SWEPCO WS Q Interest Rate'!E34</f>
        <v>6.1999999999999998E-3</v>
      </c>
      <c r="M42" s="482"/>
      <c r="N42" s="1660">
        <f t="shared" si="7"/>
        <v>-38011.275578055109</v>
      </c>
      <c r="O42" s="1660"/>
      <c r="P42" s="1660"/>
      <c r="Q42" s="1660"/>
      <c r="R42" s="1660">
        <f>SUM($D$19:D42)+SUM($N$19:N42)</f>
        <v>-6168862.1752643641</v>
      </c>
      <c r="T42" s="286">
        <v>10</v>
      </c>
    </row>
    <row r="43" spans="2:20" ht="15.5">
      <c r="B43" s="1254">
        <f t="shared" si="6"/>
        <v>45962</v>
      </c>
      <c r="C43" s="482"/>
      <c r="D43" s="1660">
        <v>0</v>
      </c>
      <c r="E43" s="1661"/>
      <c r="F43" s="1660">
        <f t="shared" si="8"/>
        <v>-5571272.8319496065</v>
      </c>
      <c r="G43" s="1660"/>
      <c r="H43" s="1660">
        <f>$H$41+SUM($N$39:$N$41)</f>
        <v>-559578.06773670204</v>
      </c>
      <c r="I43" s="1660"/>
      <c r="J43" s="1660">
        <f>F43+H43</f>
        <v>-6130850.8996863086</v>
      </c>
      <c r="K43" s="1661"/>
      <c r="L43" s="481">
        <f>+'SWEPCO WS Q Interest Rate'!E35</f>
        <v>6.1999999999999998E-3</v>
      </c>
      <c r="M43" s="482"/>
      <c r="N43" s="1660">
        <f t="shared" si="7"/>
        <v>-38011.275578055109</v>
      </c>
      <c r="O43" s="1660"/>
      <c r="P43" s="1660"/>
      <c r="Q43" s="1660"/>
      <c r="R43" s="1660">
        <f>SUM($D$19:D43)+SUM($N$19:N43)</f>
        <v>-6206873.4508424187</v>
      </c>
      <c r="T43" s="286">
        <v>11</v>
      </c>
    </row>
    <row r="44" spans="2:20" ht="15.5">
      <c r="B44" s="1254">
        <f t="shared" si="6"/>
        <v>45992</v>
      </c>
      <c r="C44" s="482"/>
      <c r="D44" s="1660">
        <v>0</v>
      </c>
      <c r="E44" s="1661"/>
      <c r="F44" s="1660">
        <f>D43+F43</f>
        <v>-5571272.8319496065</v>
      </c>
      <c r="G44" s="1660"/>
      <c r="H44" s="1660">
        <f>$H$41+SUM($N$39:$N$41)</f>
        <v>-559578.06773670204</v>
      </c>
      <c r="I44" s="1660"/>
      <c r="J44" s="1660">
        <f>F44+H44</f>
        <v>-6130850.8996863086</v>
      </c>
      <c r="K44" s="1661"/>
      <c r="L44" s="481">
        <f>+'SWEPCO WS Q Interest Rate'!E36</f>
        <v>6.1999999999999998E-3</v>
      </c>
      <c r="M44" s="482"/>
      <c r="N44" s="1660">
        <f t="shared" si="7"/>
        <v>-38011.275578055109</v>
      </c>
      <c r="O44" s="1662"/>
      <c r="P44" s="1660"/>
      <c r="Q44" s="1660"/>
      <c r="R44" s="1660">
        <f>SUM($D$19:D44)+SUM($N$19:N44)</f>
        <v>-6244884.7264204742</v>
      </c>
      <c r="T44" s="286">
        <v>12</v>
      </c>
    </row>
    <row r="45" spans="2:20" ht="15.5">
      <c r="B45" s="482"/>
      <c r="C45" s="482"/>
      <c r="D45" s="1660"/>
      <c r="E45" s="1240"/>
      <c r="F45" s="1660"/>
      <c r="G45" s="1660"/>
      <c r="H45" s="1660"/>
      <c r="I45" s="1660"/>
      <c r="J45" s="1660"/>
      <c r="K45" s="1240"/>
      <c r="L45" s="1241"/>
      <c r="M45" s="482"/>
      <c r="N45" s="1665"/>
      <c r="O45" s="1665"/>
      <c r="P45" s="1660"/>
      <c r="Q45" s="1660"/>
      <c r="R45" s="1660"/>
      <c r="T45" s="1666"/>
    </row>
    <row r="46" spans="2:20" ht="15.5">
      <c r="B46" s="1259" t="s">
        <v>715</v>
      </c>
      <c r="C46" s="482"/>
      <c r="D46" s="1660"/>
      <c r="E46" s="1661"/>
      <c r="F46" s="1660"/>
      <c r="G46" s="1660"/>
      <c r="H46" s="1660"/>
      <c r="I46" s="1660"/>
      <c r="J46" s="1660"/>
      <c r="K46" s="1661"/>
      <c r="L46" s="1241"/>
      <c r="M46" s="482"/>
      <c r="N46" s="1667"/>
      <c r="O46" s="1667"/>
      <c r="P46" s="1660"/>
      <c r="Q46" s="1660"/>
      <c r="R46" s="1660"/>
    </row>
    <row r="47" spans="2:20" ht="15.5">
      <c r="B47" s="1261" t="s">
        <v>418</v>
      </c>
      <c r="C47" s="482"/>
      <c r="D47" s="1660"/>
      <c r="E47" s="1661"/>
      <c r="F47" s="1660"/>
      <c r="G47" s="1660"/>
      <c r="H47" s="1660"/>
      <c r="I47" s="1660"/>
      <c r="J47" s="1660"/>
      <c r="K47" s="1661"/>
      <c r="L47" s="1241"/>
      <c r="M47" s="482"/>
      <c r="N47" s="1667"/>
      <c r="O47" s="1667"/>
      <c r="P47" s="1660"/>
      <c r="Q47" s="1660"/>
      <c r="R47" s="1660"/>
    </row>
    <row r="48" spans="2:20" ht="15.5">
      <c r="B48" s="1254">
        <f t="shared" ref="B48:B59" si="10">DATE($J$11,T48,1)</f>
        <v>46023</v>
      </c>
      <c r="C48" s="482"/>
      <c r="D48" s="1660">
        <v>0</v>
      </c>
      <c r="E48" s="1262"/>
      <c r="F48" s="1660">
        <f>D44+F44</f>
        <v>-5571272.8319496065</v>
      </c>
      <c r="G48" s="1663"/>
      <c r="H48" s="1660">
        <f>$H$44+SUM($N$42:$N$44)</f>
        <v>-673611.89447086735</v>
      </c>
      <c r="I48" s="1660"/>
      <c r="J48" s="1660">
        <f>F48+H48</f>
        <v>-6244884.7264204742</v>
      </c>
      <c r="K48" s="1240"/>
      <c r="L48" s="481">
        <f>+'SWEPCO WS Q Interest Rate'!$E$39</f>
        <v>6.3166666666666649E-3</v>
      </c>
      <c r="M48" s="482"/>
      <c r="N48" s="1660">
        <f t="shared" ref="N48:N59" si="11">J48*L48</f>
        <v>-39446.855188555986</v>
      </c>
      <c r="O48" s="1660"/>
      <c r="P48" s="1660">
        <f>PMT(L48,12,$R$44)</f>
        <v>542020.74750342511</v>
      </c>
      <c r="Q48" s="1660"/>
      <c r="R48" s="1660">
        <f>SUM($D$19:D48)+SUM($N$19:N48)+SUM($P$48:P48)</f>
        <v>-5742310.8341056053</v>
      </c>
      <c r="T48" s="286">
        <v>1</v>
      </c>
    </row>
    <row r="49" spans="2:20" ht="15.5">
      <c r="B49" s="1254">
        <f t="shared" si="10"/>
        <v>46054</v>
      </c>
      <c r="C49" s="482"/>
      <c r="D49" s="1660">
        <v>0</v>
      </c>
      <c r="E49" s="1240"/>
      <c r="F49" s="1660">
        <f>D48+F48</f>
        <v>-5571272.8319496065</v>
      </c>
      <c r="G49" s="1660"/>
      <c r="H49" s="1660">
        <f>$H$44+SUM($N$42:$N$44)</f>
        <v>-673611.89447086735</v>
      </c>
      <c r="I49" s="1660"/>
      <c r="J49" s="1660">
        <f>R48</f>
        <v>-5742310.8341056053</v>
      </c>
      <c r="K49" s="1240"/>
      <c r="L49" s="481">
        <f>+'SWEPCO WS Q Interest Rate'!$E$39</f>
        <v>6.3166666666666649E-3</v>
      </c>
      <c r="M49" s="482"/>
      <c r="N49" s="1660">
        <f t="shared" si="11"/>
        <v>-36272.263435433728</v>
      </c>
      <c r="O49" s="1660"/>
      <c r="P49" s="1660">
        <f t="shared" ref="P49:P59" si="12">PMT(L49,12,$R$44)</f>
        <v>542020.74750342511</v>
      </c>
      <c r="Q49" s="1660"/>
      <c r="R49" s="1660">
        <f>SUM($D$19:D49)+SUM($N$19:N49)+SUM($P$48:P49)</f>
        <v>-5236562.3500376139</v>
      </c>
      <c r="T49" s="286">
        <v>2</v>
      </c>
    </row>
    <row r="50" spans="2:20" ht="15.5">
      <c r="B50" s="1254">
        <f t="shared" si="10"/>
        <v>46082</v>
      </c>
      <c r="C50" s="482"/>
      <c r="D50" s="1660">
        <v>0</v>
      </c>
      <c r="E50" s="1240"/>
      <c r="F50" s="1660">
        <f t="shared" ref="F50:F58" si="13">D49+F49</f>
        <v>-5571272.8319496065</v>
      </c>
      <c r="G50" s="1660"/>
      <c r="H50" s="1660">
        <f>$H$44+SUM($N$42:$N$44)</f>
        <v>-673611.89447086735</v>
      </c>
      <c r="I50" s="1660"/>
      <c r="J50" s="1660">
        <f t="shared" ref="J50:J59" si="14">R49</f>
        <v>-5236562.3500376139</v>
      </c>
      <c r="K50" s="1240"/>
      <c r="L50" s="481">
        <f>+'SWEPCO WS Q Interest Rate'!$E$39</f>
        <v>6.3166666666666649E-3</v>
      </c>
      <c r="M50" s="482"/>
      <c r="N50" s="1660">
        <f t="shared" si="11"/>
        <v>-33077.618844404249</v>
      </c>
      <c r="O50" s="1660"/>
      <c r="P50" s="1660">
        <f t="shared" si="12"/>
        <v>542020.74750342511</v>
      </c>
      <c r="Q50" s="1660"/>
      <c r="R50" s="1660">
        <f>SUM($D$19:D50)+SUM($N$19:N50)+SUM($P$48:P50)</f>
        <v>-4727619.2213785928</v>
      </c>
      <c r="T50" s="286">
        <v>3</v>
      </c>
    </row>
    <row r="51" spans="2:20" ht="15.5">
      <c r="B51" s="1254">
        <f t="shared" si="10"/>
        <v>46113</v>
      </c>
      <c r="C51" s="482"/>
      <c r="D51" s="1660">
        <v>0</v>
      </c>
      <c r="E51" s="1240"/>
      <c r="F51" s="1660">
        <f t="shared" si="13"/>
        <v>-5571272.8319496065</v>
      </c>
      <c r="G51" s="1660"/>
      <c r="H51" s="1660">
        <f>$H$50+SUM($N$48:$N$50)</f>
        <v>-782408.63193926134</v>
      </c>
      <c r="I51" s="1660"/>
      <c r="J51" s="1660">
        <f t="shared" si="14"/>
        <v>-4727619.2213785928</v>
      </c>
      <c r="K51" s="1240"/>
      <c r="L51" s="481">
        <f>+'SWEPCO WS Q Interest Rate'!$E$39</f>
        <v>6.3166666666666649E-3</v>
      </c>
      <c r="M51" s="482"/>
      <c r="N51" s="1660">
        <f t="shared" si="11"/>
        <v>-29862.79474837477</v>
      </c>
      <c r="O51" s="1660"/>
      <c r="P51" s="1660">
        <f t="shared" si="12"/>
        <v>542020.74750342511</v>
      </c>
      <c r="Q51" s="1660"/>
      <c r="R51" s="1660">
        <f>SUM($D$19:D51)+SUM($N$19:N51)+SUM($P$48:P51)</f>
        <v>-4215461.268623542</v>
      </c>
      <c r="T51" s="286">
        <v>4</v>
      </c>
    </row>
    <row r="52" spans="2:20" ht="15.5">
      <c r="B52" s="1254">
        <f t="shared" si="10"/>
        <v>46143</v>
      </c>
      <c r="C52" s="482"/>
      <c r="D52" s="1660">
        <v>0</v>
      </c>
      <c r="E52" s="1240"/>
      <c r="F52" s="1660">
        <f t="shared" si="13"/>
        <v>-5571272.8319496065</v>
      </c>
      <c r="G52" s="1660"/>
      <c r="H52" s="1660">
        <f>$H$50+SUM($N$48:$N$50)</f>
        <v>-782408.63193926134</v>
      </c>
      <c r="I52" s="1660"/>
      <c r="J52" s="1660">
        <f t="shared" si="14"/>
        <v>-4215461.268623542</v>
      </c>
      <c r="K52" s="1240"/>
      <c r="L52" s="481">
        <f>+'SWEPCO WS Q Interest Rate'!$E$39</f>
        <v>6.3166666666666649E-3</v>
      </c>
      <c r="M52" s="482"/>
      <c r="N52" s="1660">
        <f t="shared" si="11"/>
        <v>-26627.663680138699</v>
      </c>
      <c r="O52" s="1660"/>
      <c r="P52" s="1660">
        <f t="shared" si="12"/>
        <v>542020.74750342511</v>
      </c>
      <c r="Q52" s="1660"/>
      <c r="R52" s="1660">
        <f>SUM($D$19:D52)+SUM($N$19:N52)+SUM($P$48:P52)</f>
        <v>-3700068.1848002556</v>
      </c>
      <c r="T52" s="286">
        <v>5</v>
      </c>
    </row>
    <row r="53" spans="2:20" ht="15.5">
      <c r="B53" s="1254">
        <f t="shared" si="10"/>
        <v>46174</v>
      </c>
      <c r="C53" s="18"/>
      <c r="D53" s="1660">
        <v>0</v>
      </c>
      <c r="E53" s="1240"/>
      <c r="F53" s="1660">
        <f t="shared" si="13"/>
        <v>-5571272.8319496065</v>
      </c>
      <c r="G53" s="1660"/>
      <c r="H53" s="1660">
        <f>$H$50+SUM($N$48:$N$50)</f>
        <v>-782408.63193926134</v>
      </c>
      <c r="I53" s="1660"/>
      <c r="J53" s="1660">
        <f t="shared" si="14"/>
        <v>-3700068.1848002556</v>
      </c>
      <c r="K53" s="1240"/>
      <c r="L53" s="481">
        <f>+'SWEPCO WS Q Interest Rate'!$E$39</f>
        <v>6.3166666666666649E-3</v>
      </c>
      <c r="M53" s="482"/>
      <c r="N53" s="1660">
        <f t="shared" si="11"/>
        <v>-23372.097367321607</v>
      </c>
      <c r="O53" s="1660"/>
      <c r="P53" s="1660">
        <f t="shared" si="12"/>
        <v>542020.74750342511</v>
      </c>
      <c r="Q53" s="1660"/>
      <c r="R53" s="1660">
        <f>SUM($D$19:D53)+SUM($N$19:N53)+SUM($P$48:P53)</f>
        <v>-3181419.5346641527</v>
      </c>
      <c r="T53" s="286">
        <v>6</v>
      </c>
    </row>
    <row r="54" spans="2:20" ht="15.5">
      <c r="B54" s="1254">
        <f t="shared" si="10"/>
        <v>46204</v>
      </c>
      <c r="C54" s="482"/>
      <c r="D54" s="1660">
        <v>0</v>
      </c>
      <c r="E54" s="1240"/>
      <c r="F54" s="1660">
        <f t="shared" si="13"/>
        <v>-5571272.8319496065</v>
      </c>
      <c r="G54" s="1660"/>
      <c r="H54" s="1660">
        <f>$H$53+SUM($N$51:$N$53)</f>
        <v>-862271.18773509644</v>
      </c>
      <c r="I54" s="1660"/>
      <c r="J54" s="1660">
        <f t="shared" si="14"/>
        <v>-3181419.5346641527</v>
      </c>
      <c r="K54" s="1240"/>
      <c r="L54" s="481">
        <f>+'SWEPCO WS Q Interest Rate'!$E$39</f>
        <v>6.3166666666666649E-3</v>
      </c>
      <c r="M54" s="482"/>
      <c r="N54" s="1660">
        <f t="shared" si="11"/>
        <v>-20095.966727295225</v>
      </c>
      <c r="O54" s="1660"/>
      <c r="P54" s="1660">
        <f t="shared" si="12"/>
        <v>542020.74750342511</v>
      </c>
      <c r="Q54" s="1660"/>
      <c r="R54" s="1660">
        <f>SUM($D$19:D54)+SUM($N$19:N54)+SUM($P$48:P54)</f>
        <v>-2659494.7538880226</v>
      </c>
      <c r="T54" s="286">
        <v>7</v>
      </c>
    </row>
    <row r="55" spans="2:20" ht="15.5">
      <c r="B55" s="1254">
        <f t="shared" si="10"/>
        <v>46235</v>
      </c>
      <c r="C55" s="482"/>
      <c r="D55" s="1660">
        <v>0</v>
      </c>
      <c r="E55" s="1240"/>
      <c r="F55" s="1660">
        <f t="shared" si="13"/>
        <v>-5571272.8319496065</v>
      </c>
      <c r="G55" s="1660"/>
      <c r="H55" s="1660">
        <f>$H$53+SUM($N$51:$N$53)</f>
        <v>-862271.18773509644</v>
      </c>
      <c r="I55" s="1660"/>
      <c r="J55" s="1660">
        <f t="shared" si="14"/>
        <v>-2659494.7538880226</v>
      </c>
      <c r="K55" s="1240"/>
      <c r="L55" s="481">
        <f>+'SWEPCO WS Q Interest Rate'!$E$39</f>
        <v>6.3166666666666649E-3</v>
      </c>
      <c r="M55" s="482"/>
      <c r="N55" s="1660">
        <f t="shared" si="11"/>
        <v>-16799.141862059339</v>
      </c>
      <c r="O55" s="1660"/>
      <c r="P55" s="1660">
        <f t="shared" si="12"/>
        <v>542020.74750342511</v>
      </c>
      <c r="Q55" s="1660"/>
      <c r="R55" s="1660">
        <f>SUM($D$19:D55)+SUM($N$19:N55)+SUM($P$48:P55)</f>
        <v>-2134273.1482466562</v>
      </c>
      <c r="T55" s="286">
        <v>8</v>
      </c>
    </row>
    <row r="56" spans="2:20" ht="15.5">
      <c r="B56" s="1254">
        <f t="shared" si="10"/>
        <v>46266</v>
      </c>
      <c r="C56" s="482"/>
      <c r="D56" s="1660">
        <v>0</v>
      </c>
      <c r="E56" s="1240"/>
      <c r="F56" s="1660">
        <f t="shared" si="13"/>
        <v>-5571272.8319496065</v>
      </c>
      <c r="G56" s="1660"/>
      <c r="H56" s="1660">
        <f>$H$53+SUM($N$51:$N$53)</f>
        <v>-862271.18773509644</v>
      </c>
      <c r="I56" s="1660"/>
      <c r="J56" s="1660">
        <f t="shared" si="14"/>
        <v>-2134273.1482466562</v>
      </c>
      <c r="K56" s="1240"/>
      <c r="L56" s="481">
        <f>+'SWEPCO WS Q Interest Rate'!$E$39</f>
        <v>6.3166666666666649E-3</v>
      </c>
      <c r="M56" s="482"/>
      <c r="N56" s="1660">
        <f t="shared" si="11"/>
        <v>-13481.492053091375</v>
      </c>
      <c r="O56" s="1660"/>
      <c r="P56" s="1660">
        <f t="shared" si="12"/>
        <v>542020.74750342511</v>
      </c>
      <c r="Q56" s="1660"/>
      <c r="R56" s="1660">
        <f>SUM($D$19:D56)+SUM($N$19:N56)+SUM($P$48:P56)</f>
        <v>-1605733.8927963227</v>
      </c>
      <c r="T56" s="286">
        <v>9</v>
      </c>
    </row>
    <row r="57" spans="2:20" ht="15.5">
      <c r="B57" s="1254">
        <f t="shared" si="10"/>
        <v>46296</v>
      </c>
      <c r="C57" s="482"/>
      <c r="D57" s="1660">
        <v>0</v>
      </c>
      <c r="E57" s="1240"/>
      <c r="F57" s="1660">
        <f t="shared" si="13"/>
        <v>-5571272.8319496065</v>
      </c>
      <c r="G57" s="1660"/>
      <c r="H57" s="1660">
        <f>$H$56+SUM($N$54:$N$56)</f>
        <v>-912647.7883775424</v>
      </c>
      <c r="I57" s="1660"/>
      <c r="J57" s="1660">
        <f t="shared" si="14"/>
        <v>-1605733.8927963227</v>
      </c>
      <c r="K57" s="1240"/>
      <c r="L57" s="481">
        <f>+'SWEPCO WS Q Interest Rate'!$E$39</f>
        <v>6.3166666666666649E-3</v>
      </c>
      <c r="M57" s="482"/>
      <c r="N57" s="1660">
        <f t="shared" si="11"/>
        <v>-10142.885756163436</v>
      </c>
      <c r="O57" s="1660"/>
      <c r="P57" s="1660">
        <f t="shared" si="12"/>
        <v>542020.74750342511</v>
      </c>
      <c r="Q57" s="1660"/>
      <c r="R57" s="1660">
        <f>SUM($D$19:D57)+SUM($N$19:N57)+SUM($P$48:P57)</f>
        <v>-1073856.0310490616</v>
      </c>
      <c r="T57" s="286">
        <v>10</v>
      </c>
    </row>
    <row r="58" spans="2:20" ht="15.5">
      <c r="B58" s="1254">
        <f t="shared" si="10"/>
        <v>46327</v>
      </c>
      <c r="C58" s="482"/>
      <c r="D58" s="1660">
        <v>0</v>
      </c>
      <c r="E58" s="1240"/>
      <c r="F58" s="1660">
        <f t="shared" si="13"/>
        <v>-5571272.8319496065</v>
      </c>
      <c r="G58" s="1660"/>
      <c r="H58" s="1660">
        <f>$H$56+SUM($N$54:$N$56)</f>
        <v>-912647.7883775424</v>
      </c>
      <c r="I58" s="1660"/>
      <c r="J58" s="1660">
        <f t="shared" si="14"/>
        <v>-1073856.0310490616</v>
      </c>
      <c r="K58" s="1240"/>
      <c r="L58" s="481">
        <f>+'SWEPCO WS Q Interest Rate'!$E$39</f>
        <v>6.3166666666666649E-3</v>
      </c>
      <c r="M58" s="482"/>
      <c r="N58" s="1660">
        <f t="shared" si="11"/>
        <v>-6783.1905961265702</v>
      </c>
      <c r="O58" s="1660"/>
      <c r="P58" s="1660">
        <f t="shared" si="12"/>
        <v>542020.74750342511</v>
      </c>
      <c r="Q58" s="1660"/>
      <c r="R58" s="1660">
        <f>SUM($D$19:D58)+SUM($N$19:N58)+SUM($P$48:P58)</f>
        <v>-538618.47414176259</v>
      </c>
      <c r="S58" s="1263"/>
      <c r="T58" s="286">
        <v>11</v>
      </c>
    </row>
    <row r="59" spans="2:20" ht="16" thickBot="1">
      <c r="B59" s="1264">
        <f t="shared" si="10"/>
        <v>46357</v>
      </c>
      <c r="C59" s="486"/>
      <c r="D59" s="1668">
        <v>0</v>
      </c>
      <c r="E59" s="1242"/>
      <c r="F59" s="1668">
        <f>D58+F58</f>
        <v>-5571272.8319496065</v>
      </c>
      <c r="G59" s="1668"/>
      <c r="H59" s="1668">
        <f>$H$56+SUM($N$54:$N$56)</f>
        <v>-912647.7883775424</v>
      </c>
      <c r="I59" s="1668"/>
      <c r="J59" s="1668">
        <f t="shared" si="14"/>
        <v>-538618.47414176259</v>
      </c>
      <c r="K59" s="1242"/>
      <c r="L59" s="485">
        <f>+'SWEPCO WS Q Interest Rate'!$E$39</f>
        <v>6.3166666666666649E-3</v>
      </c>
      <c r="M59" s="486"/>
      <c r="N59" s="1668">
        <f t="shared" si="11"/>
        <v>-3402.2733616621326</v>
      </c>
      <c r="O59" s="1668"/>
      <c r="P59" s="1668">
        <f t="shared" si="12"/>
        <v>542020.74750342511</v>
      </c>
      <c r="Q59" s="1668"/>
      <c r="R59" s="1668">
        <f>SUM($D$19:D59)+SUM($N$19:N59)+SUM($P$48:P59)</f>
        <v>0</v>
      </c>
      <c r="T59" s="286">
        <v>12</v>
      </c>
    </row>
    <row r="60" spans="2:20" ht="15.5">
      <c r="B60" s="482"/>
      <c r="C60" s="482"/>
      <c r="D60" s="1240"/>
      <c r="E60" s="1240"/>
      <c r="F60" s="1240"/>
      <c r="G60" s="1240"/>
      <c r="H60" s="1240"/>
      <c r="I60" s="1240"/>
      <c r="J60" s="1240"/>
      <c r="K60" s="1240"/>
      <c r="L60" s="482"/>
      <c r="M60" s="482"/>
      <c r="N60" s="1660"/>
      <c r="O60" s="1660"/>
      <c r="P60" s="1660"/>
      <c r="Q60" s="1660"/>
      <c r="R60" s="1660"/>
    </row>
    <row r="61" spans="2:20" ht="15.5">
      <c r="B61" s="18"/>
      <c r="C61" s="18"/>
      <c r="D61" s="18"/>
      <c r="E61" s="18"/>
      <c r="F61" s="18"/>
      <c r="G61" s="18"/>
      <c r="H61" s="18"/>
      <c r="I61" s="18"/>
      <c r="J61" s="18"/>
      <c r="K61" s="18"/>
      <c r="L61" s="18"/>
      <c r="M61" s="18"/>
      <c r="N61" s="1664"/>
      <c r="O61" s="1664"/>
      <c r="P61" s="1664"/>
      <c r="Q61" s="1664"/>
      <c r="R61" s="1664"/>
    </row>
    <row r="62" spans="2:20" ht="15.5">
      <c r="B62" s="1265" t="s">
        <v>716</v>
      </c>
      <c r="C62" s="1266"/>
      <c r="D62" s="1266"/>
      <c r="E62" s="1266"/>
      <c r="F62" s="1266"/>
      <c r="G62" s="1266"/>
      <c r="H62" s="1266"/>
      <c r="I62" s="1266"/>
      <c r="J62" s="1266"/>
      <c r="K62" s="1266"/>
      <c r="L62" s="1266"/>
      <c r="M62" s="1266"/>
      <c r="N62" s="1669"/>
      <c r="O62" s="1669"/>
      <c r="P62" s="1670">
        <f>(SUM(P48:P59)*-1)</f>
        <v>-6504248.9700411009</v>
      </c>
      <c r="Q62" s="1664"/>
      <c r="R62" s="1664"/>
    </row>
    <row r="63" spans="2:20" ht="15.5">
      <c r="B63" s="482" t="s">
        <v>717</v>
      </c>
      <c r="C63" s="18"/>
      <c r="D63" s="18"/>
      <c r="E63" s="18"/>
      <c r="F63" s="18"/>
      <c r="G63" s="18"/>
      <c r="H63" s="18"/>
      <c r="I63" s="18"/>
      <c r="J63" s="18"/>
      <c r="K63" s="18"/>
      <c r="L63" s="18"/>
      <c r="M63" s="18"/>
      <c r="N63" s="1671"/>
      <c r="O63" s="1671"/>
      <c r="P63" s="1662">
        <f>+F11</f>
        <v>-5571272.8319496065</v>
      </c>
      <c r="Q63" s="1664"/>
      <c r="R63" s="1664"/>
    </row>
    <row r="64" spans="2:20" ht="15.5">
      <c r="B64" s="1269" t="s">
        <v>718</v>
      </c>
      <c r="C64" s="1270"/>
      <c r="D64" s="1270"/>
      <c r="E64" s="1270"/>
      <c r="F64" s="1270"/>
      <c r="G64" s="1270"/>
      <c r="H64" s="1270"/>
      <c r="I64" s="1270"/>
      <c r="J64" s="1270"/>
      <c r="K64" s="1270"/>
      <c r="L64" s="1270"/>
      <c r="M64" s="1270"/>
      <c r="N64" s="1672"/>
      <c r="O64" s="1672"/>
      <c r="P64" s="1673">
        <f>+(P62-P63)</f>
        <v>-932976.13809149433</v>
      </c>
      <c r="Q64" s="1664"/>
      <c r="R64" s="1664"/>
    </row>
    <row r="66" spans="2:18" ht="15.75" customHeight="1">
      <c r="B66" s="2380" t="s">
        <v>945</v>
      </c>
      <c r="C66" s="2380"/>
      <c r="D66" s="2380"/>
      <c r="E66" s="2380"/>
      <c r="F66" s="2380"/>
      <c r="G66" s="2380"/>
      <c r="H66" s="2380"/>
      <c r="I66" s="2380"/>
      <c r="J66" s="2380"/>
      <c r="K66" s="2380"/>
      <c r="L66" s="2380"/>
      <c r="M66" s="2380"/>
      <c r="N66" s="2380"/>
      <c r="O66" s="2380"/>
      <c r="P66" s="2380"/>
      <c r="Q66" s="1272"/>
      <c r="R66" s="1272"/>
    </row>
    <row r="67" spans="2:18" ht="12.75" customHeight="1">
      <c r="B67" s="2380"/>
      <c r="C67" s="2380"/>
      <c r="D67" s="2380"/>
      <c r="E67" s="2380"/>
      <c r="F67" s="2380"/>
      <c r="G67" s="2380"/>
      <c r="H67" s="2380"/>
      <c r="I67" s="2380"/>
      <c r="J67" s="2380"/>
      <c r="K67" s="2380"/>
      <c r="L67" s="2380"/>
      <c r="M67" s="2380"/>
      <c r="N67" s="2380"/>
      <c r="O67" s="2380"/>
      <c r="P67" s="2380"/>
    </row>
    <row r="68" spans="2:18" ht="38.25" customHeight="1">
      <c r="B68" s="2380"/>
      <c r="C68" s="2380"/>
      <c r="D68" s="2380"/>
      <c r="E68" s="2380"/>
      <c r="F68" s="2380"/>
      <c r="G68" s="2380"/>
      <c r="H68" s="2380"/>
      <c r="I68" s="2380"/>
      <c r="J68" s="2380"/>
      <c r="K68" s="2380"/>
      <c r="L68" s="2380"/>
      <c r="M68" s="2380"/>
      <c r="N68" s="2380"/>
      <c r="O68" s="2380"/>
      <c r="P68" s="2380"/>
      <c r="Q68" s="1674"/>
      <c r="R68" s="1674"/>
    </row>
    <row r="70" spans="2:18" ht="22.5" customHeight="1">
      <c r="B70" s="2377" t="s">
        <v>946</v>
      </c>
      <c r="C70" s="2377"/>
      <c r="D70" s="2377"/>
      <c r="E70" s="2377"/>
      <c r="F70" s="2377"/>
      <c r="G70" s="2377"/>
      <c r="H70" s="2377"/>
      <c r="I70" s="2377"/>
      <c r="J70" s="2377"/>
      <c r="K70" s="2377"/>
      <c r="L70" s="2377"/>
      <c r="M70" s="2377"/>
      <c r="N70" s="2377"/>
      <c r="O70" s="2377"/>
      <c r="P70" s="2377"/>
    </row>
    <row r="73" spans="2:18" ht="15.5">
      <c r="B73" s="1250"/>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Formula Rate
TCOS - WS N
Page: &amp;P of &amp;N</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70"/>
  <sheetViews>
    <sheetView topLeftCell="A6" zoomScaleNormal="100" workbookViewId="0">
      <selection activeCell="W27" sqref="W27"/>
    </sheetView>
  </sheetViews>
  <sheetFormatPr defaultColWidth="9.1796875" defaultRowHeight="12.5"/>
  <cols>
    <col min="1" max="1" width="1.54296875" style="286" customWidth="1"/>
    <col min="2" max="2" width="25.1796875" style="286" customWidth="1"/>
    <col min="3" max="3" width="1.54296875" style="286" customWidth="1"/>
    <col min="4" max="4" width="22.54296875" style="286" customWidth="1"/>
    <col min="5" max="5" width="1.54296875" style="286" customWidth="1"/>
    <col min="6" max="6" width="24.81640625" style="286" customWidth="1"/>
    <col min="7" max="7" width="1.54296875" style="286"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3" style="286" hidden="1" customWidth="1"/>
    <col min="19" max="19" width="9.1796875" style="286"/>
    <col min="20" max="20" width="3" style="286" bestFit="1" customWidth="1"/>
    <col min="21" max="16384" width="9.1796875" style="286"/>
  </cols>
  <sheetData>
    <row r="1" spans="1:18" ht="15.5">
      <c r="A1" s="18"/>
    </row>
    <row r="2" spans="1:18" ht="15.5">
      <c r="A2" s="342"/>
    </row>
    <row r="3" spans="1:18" ht="15.5">
      <c r="A3" s="342"/>
    </row>
    <row r="4" spans="1:18" ht="15.5">
      <c r="B4" s="2378" t="s">
        <v>644</v>
      </c>
      <c r="C4" s="2378"/>
      <c r="D4" s="2378"/>
      <c r="E4" s="2378"/>
      <c r="F4" s="2378"/>
      <c r="G4" s="2378"/>
      <c r="H4" s="2378"/>
      <c r="I4" s="2378"/>
      <c r="J4" s="2378"/>
      <c r="K4" s="2378"/>
      <c r="L4" s="2378"/>
      <c r="M4" s="2378"/>
      <c r="N4" s="2378"/>
      <c r="O4" s="2378"/>
      <c r="P4" s="2378"/>
    </row>
    <row r="5" spans="1:18" ht="15.5">
      <c r="B5" s="2379" t="str">
        <f>+'SWEPCO WS A-1 - Plant'!A3</f>
        <v xml:space="preserve">Actual / Projected 2024 Rate Year Cost of Service Formula Rate </v>
      </c>
      <c r="C5" s="2379"/>
      <c r="D5" s="2379"/>
      <c r="E5" s="2379"/>
      <c r="F5" s="2379"/>
      <c r="G5" s="2379"/>
      <c r="H5" s="2379"/>
      <c r="I5" s="2379"/>
      <c r="J5" s="2379"/>
      <c r="K5" s="2379"/>
      <c r="L5" s="2379"/>
      <c r="M5" s="2379"/>
      <c r="N5" s="2379"/>
      <c r="O5" s="2379"/>
      <c r="P5" s="2379"/>
    </row>
    <row r="6" spans="1:18" ht="15.5">
      <c r="B6" s="2379" t="s">
        <v>719</v>
      </c>
      <c r="C6" s="2379"/>
      <c r="D6" s="2379"/>
      <c r="E6" s="2379"/>
      <c r="F6" s="2379"/>
      <c r="G6" s="2379"/>
      <c r="H6" s="2379"/>
      <c r="I6" s="2379"/>
      <c r="J6" s="2379"/>
      <c r="K6" s="2379"/>
      <c r="L6" s="2379"/>
      <c r="M6" s="2379"/>
      <c r="N6" s="2379"/>
      <c r="O6" s="2379"/>
      <c r="P6" s="2379"/>
    </row>
    <row r="7" spans="1:18" ht="15.5">
      <c r="B7" s="2340" t="str">
        <f>+'SWEPCO TCOS'!F8</f>
        <v>SOUTHWESTERN ELECTRIC POWER COMPANY</v>
      </c>
      <c r="C7" s="2340"/>
      <c r="D7" s="2340"/>
      <c r="E7" s="2340"/>
      <c r="F7" s="2340"/>
      <c r="G7" s="2340"/>
      <c r="H7" s="2340"/>
      <c r="I7" s="2340"/>
      <c r="J7" s="2340"/>
      <c r="K7" s="2340"/>
      <c r="L7" s="2340"/>
      <c r="M7" s="2340"/>
      <c r="N7" s="2340"/>
      <c r="O7" s="2340"/>
      <c r="P7" s="2340"/>
      <c r="Q7" s="1274"/>
      <c r="R7" s="1274"/>
    </row>
    <row r="10" spans="1:18" ht="16" thickBot="1">
      <c r="E10" s="482"/>
      <c r="F10" s="482"/>
      <c r="G10" s="482"/>
      <c r="H10" s="482"/>
      <c r="I10" s="482"/>
      <c r="J10" s="482"/>
      <c r="K10" s="482"/>
      <c r="O10" s="482"/>
      <c r="P10" s="482"/>
    </row>
    <row r="11" spans="1:18" ht="51">
      <c r="B11" s="1230" t="str">
        <f>"True up Revenue Requirement For Year "&amp;J11&amp;" Available May, "&amp;J12</f>
        <v>True up Revenue Requirement For Year 2024 Available May, 2025</v>
      </c>
      <c r="C11" s="482"/>
      <c r="D11" s="1230" t="s">
        <v>969</v>
      </c>
      <c r="E11" s="1231"/>
      <c r="F11" s="1232" t="s">
        <v>699</v>
      </c>
      <c r="G11" s="18"/>
      <c r="H11" s="1233" t="s">
        <v>700</v>
      </c>
      <c r="I11" s="482"/>
      <c r="J11" s="1234">
        <f>+'SWEPCO TCOS'!N2</f>
        <v>2024</v>
      </c>
      <c r="K11" s="482"/>
      <c r="O11" s="18"/>
      <c r="P11" s="18"/>
    </row>
    <row r="12" spans="1:18" ht="15.5">
      <c r="B12" s="1235" t="s">
        <v>254</v>
      </c>
      <c r="C12" s="482"/>
      <c r="D12" s="1235"/>
      <c r="E12" s="1231"/>
      <c r="F12" s="1236"/>
      <c r="G12" s="18"/>
      <c r="H12" s="1237" t="s">
        <v>701</v>
      </c>
      <c r="I12" s="1238"/>
      <c r="J12" s="354">
        <f>J11+1</f>
        <v>2025</v>
      </c>
      <c r="O12" s="18"/>
      <c r="P12" s="18"/>
    </row>
    <row r="13" spans="1:18" ht="16" thickBot="1">
      <c r="B13" s="2446">
        <v>203691666.17075253</v>
      </c>
      <c r="C13" s="491" t="s">
        <v>702</v>
      </c>
      <c r="D13" s="2446">
        <v>210126761.07999998</v>
      </c>
      <c r="E13" s="492" t="s">
        <v>703</v>
      </c>
      <c r="F13" s="493">
        <f>IF(B13=0,0,D13-B13)</f>
        <v>6435094.909247458</v>
      </c>
      <c r="G13" s="1239"/>
      <c r="H13" s="1233" t="s">
        <v>704</v>
      </c>
      <c r="I13" s="1240"/>
      <c r="J13" s="1241">
        <f>J12+1</f>
        <v>2026</v>
      </c>
      <c r="O13" s="18"/>
      <c r="P13" s="18"/>
    </row>
    <row r="14" spans="1:18" ht="15.5">
      <c r="B14" s="1240"/>
      <c r="C14" s="1241"/>
      <c r="D14" s="1240"/>
      <c r="E14" s="1240"/>
      <c r="F14" s="1240"/>
      <c r="G14" s="1240"/>
      <c r="H14" s="18"/>
      <c r="I14" s="18"/>
      <c r="O14" s="18"/>
      <c r="P14" s="18"/>
    </row>
    <row r="15" spans="1:18" ht="16" thickBot="1">
      <c r="B15" s="1242"/>
      <c r="C15" s="1243"/>
      <c r="D15" s="1242"/>
      <c r="E15" s="1242"/>
      <c r="F15" s="1242"/>
      <c r="G15" s="1242"/>
      <c r="H15" s="1242"/>
      <c r="I15" s="1242"/>
      <c r="J15" s="1242"/>
      <c r="K15" s="1242"/>
      <c r="L15" s="1242"/>
      <c r="M15" s="1242"/>
      <c r="N15" s="1244"/>
      <c r="O15" s="1244"/>
      <c r="P15" s="1244"/>
    </row>
    <row r="16" spans="1:18" ht="15.5">
      <c r="B16" s="1245"/>
      <c r="C16" s="1241"/>
      <c r="D16" s="1240"/>
      <c r="E16" s="1240"/>
      <c r="F16" s="1240"/>
      <c r="G16" s="1240"/>
      <c r="H16" s="1240"/>
      <c r="I16" s="1240"/>
      <c r="J16" s="1240"/>
      <c r="K16" s="1240"/>
      <c r="L16" s="1240"/>
      <c r="M16" s="1240"/>
      <c r="N16" s="18"/>
      <c r="O16" s="18"/>
      <c r="P16" s="18"/>
    </row>
    <row r="17" spans="2:18" ht="62">
      <c r="B17" s="1246" t="s">
        <v>705</v>
      </c>
      <c r="C17" s="1241"/>
      <c r="D17" s="1246" t="s">
        <v>706</v>
      </c>
      <c r="E17" s="1246"/>
      <c r="F17" s="1246" t="s">
        <v>707</v>
      </c>
      <c r="G17" s="1246"/>
      <c r="H17" s="1246" t="s">
        <v>708</v>
      </c>
      <c r="I17" s="1240"/>
      <c r="J17" s="1247" t="s">
        <v>709</v>
      </c>
      <c r="K17" s="1240"/>
      <c r="L17" s="1246" t="s">
        <v>948</v>
      </c>
      <c r="M17" s="1248"/>
      <c r="N17" s="1247" t="s">
        <v>710</v>
      </c>
      <c r="O17" s="1249"/>
      <c r="P17" s="1246" t="s">
        <v>712</v>
      </c>
    </row>
    <row r="18" spans="2:18" ht="15.5">
      <c r="B18" s="1250"/>
      <c r="C18" s="1241"/>
      <c r="D18" s="18"/>
      <c r="E18" s="18"/>
      <c r="F18" s="18"/>
      <c r="G18" s="18"/>
      <c r="H18" s="18"/>
      <c r="I18" s="1659"/>
      <c r="J18" s="1659"/>
      <c r="K18" s="1659"/>
      <c r="N18" s="18"/>
      <c r="O18" s="18"/>
      <c r="P18" s="18"/>
    </row>
    <row r="19" spans="2:18" ht="15.5">
      <c r="B19" s="1275" t="s">
        <v>713</v>
      </c>
      <c r="C19" s="1241"/>
      <c r="D19" s="1241"/>
      <c r="E19" s="1241"/>
      <c r="F19" s="1241"/>
      <c r="G19" s="1241"/>
      <c r="H19" s="1241"/>
      <c r="I19" s="1241"/>
      <c r="J19" s="1241"/>
      <c r="K19" s="1241"/>
      <c r="L19" s="18"/>
      <c r="M19" s="18"/>
      <c r="N19" s="1248"/>
      <c r="O19" s="1241"/>
      <c r="P19" s="1241"/>
    </row>
    <row r="20" spans="2:18" ht="15.5">
      <c r="B20" s="1253" t="s">
        <v>127</v>
      </c>
      <c r="C20" s="1241"/>
      <c r="D20" s="1241"/>
      <c r="E20" s="1241"/>
      <c r="F20" s="1241"/>
      <c r="G20" s="1241"/>
      <c r="H20" s="1241"/>
      <c r="I20" s="1241"/>
      <c r="J20" s="1241"/>
      <c r="K20" s="1241"/>
      <c r="L20" s="18"/>
      <c r="M20" s="18"/>
      <c r="N20" s="1248"/>
      <c r="O20" s="1241"/>
      <c r="P20" s="1241"/>
    </row>
    <row r="21" spans="2:18" ht="15.5">
      <c r="B21" s="1254">
        <f t="shared" ref="B21:B32" si="0">DATE($J$11,R21,1)</f>
        <v>45292</v>
      </c>
      <c r="C21" s="482"/>
      <c r="D21" s="1660">
        <f>F13/12</f>
        <v>536257.90910395479</v>
      </c>
      <c r="E21" s="1661"/>
      <c r="F21" s="1660">
        <v>0</v>
      </c>
      <c r="G21" s="1660"/>
      <c r="H21" s="1660">
        <v>0</v>
      </c>
      <c r="I21" s="1660"/>
      <c r="J21" s="1660">
        <f>F21+H21</f>
        <v>0</v>
      </c>
      <c r="K21" s="1661"/>
      <c r="L21" s="481">
        <f>+'SWEPCO WS Q Interest Rate'!E13</f>
        <v>7.1999999999999998E-3</v>
      </c>
      <c r="M21" s="482"/>
      <c r="N21" s="1660">
        <f t="shared" ref="N21:N32" si="1">J21*L21</f>
        <v>0</v>
      </c>
      <c r="O21" s="1660"/>
      <c r="P21" s="1660">
        <f>D21+N21</f>
        <v>536257.90910395479</v>
      </c>
      <c r="R21" s="286">
        <v>1</v>
      </c>
    </row>
    <row r="22" spans="2:18" ht="15.5">
      <c r="B22" s="1254">
        <f t="shared" si="0"/>
        <v>45323</v>
      </c>
      <c r="C22" s="482"/>
      <c r="D22" s="1660">
        <f>+D21</f>
        <v>536257.90910395479</v>
      </c>
      <c r="E22" s="1661"/>
      <c r="F22" s="1660">
        <f>D21</f>
        <v>536257.90910395479</v>
      </c>
      <c r="G22" s="1660"/>
      <c r="H22" s="1660">
        <v>0</v>
      </c>
      <c r="I22" s="1660"/>
      <c r="J22" s="1660">
        <f t="shared" ref="J22:J31" si="2">F22+H22</f>
        <v>536257.90910395479</v>
      </c>
      <c r="K22" s="1661"/>
      <c r="L22" s="481">
        <f>+'SWEPCO WS Q Interest Rate'!E14</f>
        <v>6.7999999999999996E-3</v>
      </c>
      <c r="M22" s="482"/>
      <c r="N22" s="1660">
        <f t="shared" si="1"/>
        <v>3646.5537819068923</v>
      </c>
      <c r="O22" s="1660"/>
      <c r="P22" s="1660">
        <f>SUM($D$21:D22)+SUM($N$21:N22)</f>
        <v>1076162.3719898164</v>
      </c>
      <c r="R22" s="286">
        <v>2</v>
      </c>
    </row>
    <row r="23" spans="2:18" ht="15.5">
      <c r="B23" s="1254">
        <f t="shared" si="0"/>
        <v>45352</v>
      </c>
      <c r="C23" s="482"/>
      <c r="D23" s="1660">
        <f>+D22</f>
        <v>536257.90910395479</v>
      </c>
      <c r="E23" s="1661"/>
      <c r="F23" s="1660">
        <f>D22+F22</f>
        <v>1072515.8182079096</v>
      </c>
      <c r="G23" s="1660"/>
      <c r="H23" s="1660">
        <v>0</v>
      </c>
      <c r="I23" s="1660"/>
      <c r="J23" s="1660">
        <f t="shared" si="2"/>
        <v>1072515.8182079096</v>
      </c>
      <c r="K23" s="1661"/>
      <c r="L23" s="481">
        <f>+'SWEPCO WS Q Interest Rate'!E15</f>
        <v>7.1999999999999998E-3</v>
      </c>
      <c r="M23" s="482"/>
      <c r="N23" s="1660">
        <f t="shared" si="1"/>
        <v>7722.1138910969485</v>
      </c>
      <c r="O23" s="1660"/>
      <c r="P23" s="1660">
        <f>SUM($D$21:D23)+SUM($N$21:N23)</f>
        <v>1620142.3949848684</v>
      </c>
      <c r="R23" s="286">
        <v>3</v>
      </c>
    </row>
    <row r="24" spans="2:18" ht="15.5">
      <c r="B24" s="1254">
        <f t="shared" si="0"/>
        <v>45383</v>
      </c>
      <c r="C24" s="482"/>
      <c r="D24" s="1660">
        <f>+D23</f>
        <v>536257.90910395479</v>
      </c>
      <c r="E24" s="1661"/>
      <c r="F24" s="1660">
        <f t="shared" ref="F24:F30" si="3">D23+F23</f>
        <v>1608773.7273118645</v>
      </c>
      <c r="G24" s="1660"/>
      <c r="H24" s="1660">
        <f>SUM($N$21:$N$23)</f>
        <v>11368.667673003842</v>
      </c>
      <c r="I24" s="1660"/>
      <c r="J24" s="1660">
        <f t="shared" si="2"/>
        <v>1620142.3949848684</v>
      </c>
      <c r="K24" s="1661"/>
      <c r="L24" s="481">
        <f>+'SWEPCO WS Q Interest Rate'!E16</f>
        <v>7.0000000000000001E-3</v>
      </c>
      <c r="M24" s="482"/>
      <c r="N24" s="1660">
        <f t="shared" si="1"/>
        <v>11340.996764894078</v>
      </c>
      <c r="O24" s="1660"/>
      <c r="P24" s="1660">
        <f>SUM($D$21:D24)+SUM($N$21:N24)</f>
        <v>2167741.3008537171</v>
      </c>
      <c r="R24" s="286">
        <v>4</v>
      </c>
    </row>
    <row r="25" spans="2:18" ht="15.5">
      <c r="B25" s="1254">
        <f t="shared" si="0"/>
        <v>45413</v>
      </c>
      <c r="C25" s="482"/>
      <c r="D25" s="1660">
        <f t="shared" ref="D25:D30" si="4">+D24</f>
        <v>536257.90910395479</v>
      </c>
      <c r="E25" s="1661"/>
      <c r="F25" s="1660">
        <f t="shared" si="3"/>
        <v>2145031.6364158192</v>
      </c>
      <c r="G25" s="1660"/>
      <c r="H25" s="1660">
        <f t="shared" ref="H25:H26" si="5">SUM($N$21:$N$23)</f>
        <v>11368.667673003842</v>
      </c>
      <c r="I25" s="1660"/>
      <c r="J25" s="1660">
        <f t="shared" si="2"/>
        <v>2156400.304088823</v>
      </c>
      <c r="K25" s="1661"/>
      <c r="L25" s="481">
        <f>+'SWEPCO WS Q Interest Rate'!E17</f>
        <v>7.1999999999999998E-3</v>
      </c>
      <c r="M25" s="482"/>
      <c r="N25" s="1660">
        <f t="shared" si="1"/>
        <v>15526.082189439525</v>
      </c>
      <c r="O25" s="1660"/>
      <c r="P25" s="1660">
        <f>SUM($D$21:D25)+SUM($N$21:N25)</f>
        <v>2719525.2921471111</v>
      </c>
      <c r="R25" s="286">
        <v>5</v>
      </c>
    </row>
    <row r="26" spans="2:18" ht="15.5">
      <c r="B26" s="1254">
        <f t="shared" si="0"/>
        <v>45444</v>
      </c>
      <c r="C26" s="482"/>
      <c r="D26" s="1660">
        <f t="shared" si="4"/>
        <v>536257.90910395479</v>
      </c>
      <c r="E26" s="1661"/>
      <c r="F26" s="1660">
        <f t="shared" si="3"/>
        <v>2681289.5455197738</v>
      </c>
      <c r="G26" s="1660"/>
      <c r="H26" s="1660">
        <f t="shared" si="5"/>
        <v>11368.667673003842</v>
      </c>
      <c r="I26" s="1660"/>
      <c r="J26" s="1660">
        <f t="shared" si="2"/>
        <v>2692658.2131927777</v>
      </c>
      <c r="K26" s="1661"/>
      <c r="L26" s="481">
        <f>+'SWEPCO WS Q Interest Rate'!E18</f>
        <v>7.0000000000000001E-3</v>
      </c>
      <c r="M26" s="482"/>
      <c r="N26" s="1660">
        <f t="shared" si="1"/>
        <v>18848.607492349445</v>
      </c>
      <c r="O26" s="1660"/>
      <c r="P26" s="1660">
        <f>SUM($D$21:D26)+SUM($N$21:N26)</f>
        <v>3274631.8087434154</v>
      </c>
      <c r="R26" s="286">
        <v>6</v>
      </c>
    </row>
    <row r="27" spans="2:18" ht="15.5">
      <c r="B27" s="1254">
        <f t="shared" si="0"/>
        <v>45474</v>
      </c>
      <c r="C27" s="482"/>
      <c r="D27" s="1660">
        <f t="shared" si="4"/>
        <v>536257.90910395479</v>
      </c>
      <c r="E27" s="1661"/>
      <c r="F27" s="1660">
        <f t="shared" si="3"/>
        <v>3217547.4546237285</v>
      </c>
      <c r="G27" s="1660"/>
      <c r="H27" s="1660">
        <f>$H$26+SUM($N$24:$N$26)</f>
        <v>57084.35411968689</v>
      </c>
      <c r="I27" s="1660"/>
      <c r="J27" s="1660">
        <f t="shared" si="2"/>
        <v>3274631.8087434154</v>
      </c>
      <c r="K27" s="1661"/>
      <c r="L27" s="481">
        <f>+'SWEPCO WS Q Interest Rate'!E19</f>
        <v>7.1999999999999998E-3</v>
      </c>
      <c r="M27" s="482"/>
      <c r="N27" s="1660">
        <f t="shared" si="1"/>
        <v>23577.349022952589</v>
      </c>
      <c r="O27" s="1660"/>
      <c r="P27" s="1660">
        <f>SUM($D$21:D27)+SUM($N$21:N27)</f>
        <v>3834467.0668703225</v>
      </c>
      <c r="R27" s="286">
        <v>7</v>
      </c>
    </row>
    <row r="28" spans="2:18" ht="15.5">
      <c r="B28" s="1254">
        <f t="shared" si="0"/>
        <v>45505</v>
      </c>
      <c r="C28" s="482"/>
      <c r="D28" s="1660">
        <f t="shared" si="4"/>
        <v>536257.90910395479</v>
      </c>
      <c r="E28" s="1661"/>
      <c r="F28" s="1660">
        <f t="shared" si="3"/>
        <v>3753805.3637276832</v>
      </c>
      <c r="G28" s="1660"/>
      <c r="H28" s="1660">
        <f>$H$26+SUM($N$24:$N$26)</f>
        <v>57084.35411968689</v>
      </c>
      <c r="I28" s="1660"/>
      <c r="J28" s="1660">
        <f t="shared" si="2"/>
        <v>3810889.7178473701</v>
      </c>
      <c r="K28" s="1661"/>
      <c r="L28" s="481">
        <f>+'SWEPCO WS Q Interest Rate'!E20</f>
        <v>7.1999999999999998E-3</v>
      </c>
      <c r="M28" s="482"/>
      <c r="N28" s="1660">
        <f t="shared" si="1"/>
        <v>27438.405968501065</v>
      </c>
      <c r="O28" s="1660"/>
      <c r="P28" s="1660">
        <f>SUM($D$21:D28)+SUM($N$21:N28)</f>
        <v>4398163.3819427788</v>
      </c>
      <c r="R28" s="286">
        <v>8</v>
      </c>
    </row>
    <row r="29" spans="2:18" ht="15.5">
      <c r="B29" s="1254">
        <f t="shared" si="0"/>
        <v>45536</v>
      </c>
      <c r="C29" s="482"/>
      <c r="D29" s="1660">
        <f t="shared" si="4"/>
        <v>536257.90910395479</v>
      </c>
      <c r="E29" s="1661"/>
      <c r="F29" s="1660">
        <f t="shared" si="3"/>
        <v>4290063.2728316383</v>
      </c>
      <c r="G29" s="1660"/>
      <c r="H29" s="1660">
        <f>$H$26+SUM($N$24:$N$26)</f>
        <v>57084.35411968689</v>
      </c>
      <c r="I29" s="1660"/>
      <c r="J29" s="1660">
        <f t="shared" si="2"/>
        <v>4347147.6269513257</v>
      </c>
      <c r="K29" s="1661"/>
      <c r="L29" s="481">
        <f>+'SWEPCO WS Q Interest Rate'!E21</f>
        <v>7.0000000000000001E-3</v>
      </c>
      <c r="M29" s="482"/>
      <c r="N29" s="1660">
        <f t="shared" si="1"/>
        <v>30430.033388659282</v>
      </c>
      <c r="O29" s="1660"/>
      <c r="P29" s="1660">
        <f>SUM($D$21:D29)+SUM($N$21:N29)</f>
        <v>4964851.3244353933</v>
      </c>
      <c r="R29" s="286">
        <v>9</v>
      </c>
    </row>
    <row r="30" spans="2:18" ht="15.5">
      <c r="B30" s="1254">
        <f t="shared" si="0"/>
        <v>45566</v>
      </c>
      <c r="C30" s="482"/>
      <c r="D30" s="1660">
        <f t="shared" si="4"/>
        <v>536257.90910395479</v>
      </c>
      <c r="E30" s="1661"/>
      <c r="F30" s="1660">
        <f t="shared" si="3"/>
        <v>4826321.1819355935</v>
      </c>
      <c r="G30" s="1660"/>
      <c r="H30" s="1660">
        <f>$H$29+SUM($N$27:$N$29)</f>
        <v>138530.14249979984</v>
      </c>
      <c r="I30" s="1660"/>
      <c r="J30" s="1660">
        <f t="shared" si="2"/>
        <v>4964851.3244353933</v>
      </c>
      <c r="K30" s="1661"/>
      <c r="L30" s="481">
        <f>+'SWEPCO WS Q Interest Rate'!E22</f>
        <v>7.1999999999999998E-3</v>
      </c>
      <c r="M30" s="482"/>
      <c r="N30" s="1660">
        <f t="shared" si="1"/>
        <v>35746.929535934833</v>
      </c>
      <c r="O30" s="1660"/>
      <c r="P30" s="1660">
        <f>SUM($D$21:D30)+SUM($N$21:N30)</f>
        <v>5536856.1630752832</v>
      </c>
      <c r="R30" s="286">
        <v>10</v>
      </c>
    </row>
    <row r="31" spans="2:18" ht="15.5">
      <c r="B31" s="1254">
        <f t="shared" si="0"/>
        <v>45597</v>
      </c>
      <c r="C31" s="482"/>
      <c r="D31" s="1660">
        <f>+D30</f>
        <v>536257.90910395479</v>
      </c>
      <c r="E31" s="1661"/>
      <c r="F31" s="1660">
        <f>D30+F30</f>
        <v>5362579.0910395486</v>
      </c>
      <c r="G31" s="1660"/>
      <c r="H31" s="1660">
        <f>$H$29+SUM($N$27:$N$29)</f>
        <v>138530.14249979984</v>
      </c>
      <c r="I31" s="1660"/>
      <c r="J31" s="1660">
        <f t="shared" si="2"/>
        <v>5501109.2335393485</v>
      </c>
      <c r="K31" s="1661"/>
      <c r="L31" s="481">
        <f>+'SWEPCO WS Q Interest Rate'!E23</f>
        <v>7.0000000000000001E-3</v>
      </c>
      <c r="M31" s="482"/>
      <c r="N31" s="1660">
        <f t="shared" si="1"/>
        <v>38507.764634775442</v>
      </c>
      <c r="O31" s="1660"/>
      <c r="P31" s="1660">
        <f>SUM($D$21:D31)+SUM($N$21:N31)</f>
        <v>6111621.8368140142</v>
      </c>
      <c r="R31" s="286">
        <v>11</v>
      </c>
    </row>
    <row r="32" spans="2:18" ht="15.5">
      <c r="B32" s="1254">
        <f t="shared" si="0"/>
        <v>45627</v>
      </c>
      <c r="C32" s="482"/>
      <c r="D32" s="1660">
        <f>+D31</f>
        <v>536257.90910395479</v>
      </c>
      <c r="E32" s="1661"/>
      <c r="F32" s="1660">
        <f>D31+F31</f>
        <v>5898837.0001435038</v>
      </c>
      <c r="G32" s="1660"/>
      <c r="H32" s="1660">
        <f>$H$29+SUM($N$27:$N$29)</f>
        <v>138530.14249979984</v>
      </c>
      <c r="I32" s="1660"/>
      <c r="J32" s="1660">
        <f>F32+H32</f>
        <v>6037367.1426433036</v>
      </c>
      <c r="K32" s="1661"/>
      <c r="L32" s="481">
        <f>+'SWEPCO WS Q Interest Rate'!E24</f>
        <v>7.1999999999999998E-3</v>
      </c>
      <c r="M32" s="482"/>
      <c r="N32" s="1660">
        <f t="shared" si="1"/>
        <v>43469.043427031786</v>
      </c>
      <c r="O32" s="1660"/>
      <c r="P32" s="1660">
        <f>SUM($D$21:D32)+SUM($N$21:N32)</f>
        <v>6691348.7893450009</v>
      </c>
      <c r="R32" s="286">
        <v>12</v>
      </c>
    </row>
    <row r="33" spans="2:20" ht="15.5">
      <c r="B33" s="482"/>
      <c r="C33" s="482"/>
      <c r="D33" s="1660"/>
      <c r="E33" s="1661"/>
      <c r="F33" s="1660"/>
      <c r="G33" s="1660"/>
      <c r="H33" s="1660"/>
      <c r="I33" s="1660"/>
      <c r="J33" s="1660"/>
      <c r="K33" s="1661"/>
      <c r="L33" s="1241"/>
      <c r="M33" s="482"/>
      <c r="N33" s="1662"/>
      <c r="O33" s="1660"/>
      <c r="P33" s="1663"/>
    </row>
    <row r="34" spans="2:20" ht="15.5">
      <c r="B34" s="1253" t="s">
        <v>714</v>
      </c>
      <c r="C34" s="482"/>
      <c r="D34" s="1660"/>
      <c r="E34" s="1661"/>
      <c r="F34" s="1660"/>
      <c r="G34" s="1660"/>
      <c r="H34" s="1660"/>
      <c r="I34" s="1660"/>
      <c r="J34" s="1660"/>
      <c r="K34" s="1661"/>
      <c r="L34" s="1241"/>
      <c r="M34" s="482"/>
      <c r="N34" s="1660"/>
      <c r="O34" s="1660"/>
      <c r="P34" s="1664"/>
    </row>
    <row r="35" spans="2:20" ht="15.5">
      <c r="B35" s="1254">
        <f t="shared" ref="B35:B40" si="6">DATE($J$12,R35,1)</f>
        <v>45658</v>
      </c>
      <c r="C35" s="482"/>
      <c r="D35" s="1660">
        <v>0</v>
      </c>
      <c r="E35" s="1661"/>
      <c r="F35" s="1660">
        <f>D32+F32</f>
        <v>6435094.9092474589</v>
      </c>
      <c r="G35" s="1660"/>
      <c r="H35" s="1660">
        <f>$H$32+SUM($N$30:$N$32)</f>
        <v>256253.8800975419</v>
      </c>
      <c r="I35" s="1660"/>
      <c r="J35" s="1660">
        <f>F35+H35</f>
        <v>6691348.7893450009</v>
      </c>
      <c r="K35" s="1661"/>
      <c r="L35" s="481">
        <f>+'SWEPCO WS Q Interest Rate'!E25</f>
        <v>6.7999999999999996E-3</v>
      </c>
      <c r="M35" s="482"/>
      <c r="N35" s="1660">
        <f t="shared" ref="N35:N40" si="7">J35*L35</f>
        <v>45501.171767546002</v>
      </c>
      <c r="O35" s="1660"/>
      <c r="P35" s="1660">
        <f>SUM($D$21:D35)+SUM($N$21:N35)</f>
        <v>6736849.9611125467</v>
      </c>
      <c r="R35" s="286">
        <v>1</v>
      </c>
    </row>
    <row r="36" spans="2:20" ht="15.5">
      <c r="B36" s="1254">
        <f t="shared" si="6"/>
        <v>45689</v>
      </c>
      <c r="C36" s="482"/>
      <c r="D36" s="1660">
        <v>0</v>
      </c>
      <c r="E36" s="1661"/>
      <c r="F36" s="1660">
        <f>D35+F35</f>
        <v>6435094.9092474589</v>
      </c>
      <c r="G36" s="1660"/>
      <c r="H36" s="1660">
        <f>$H$32+SUM($N$30:$N$32)</f>
        <v>256253.8800975419</v>
      </c>
      <c r="I36" s="1660"/>
      <c r="J36" s="1660">
        <f>F36+H36</f>
        <v>6691348.7893450009</v>
      </c>
      <c r="K36" s="1661"/>
      <c r="L36" s="481">
        <f>+'SWEPCO WS Q Interest Rate'!E26</f>
        <v>6.1999999999999998E-3</v>
      </c>
      <c r="M36" s="482"/>
      <c r="N36" s="1660">
        <f t="shared" si="7"/>
        <v>41486.362493939007</v>
      </c>
      <c r="O36" s="1660"/>
      <c r="P36" s="1660">
        <f>SUM($D$21:D36)+SUM($N$21:N36)</f>
        <v>6778336.3236064855</v>
      </c>
      <c r="R36" s="286">
        <v>2</v>
      </c>
    </row>
    <row r="37" spans="2:20" ht="15.5">
      <c r="B37" s="1254">
        <f t="shared" si="6"/>
        <v>45717</v>
      </c>
      <c r="C37" s="482"/>
      <c r="D37" s="1660">
        <v>0</v>
      </c>
      <c r="E37" s="1661"/>
      <c r="F37" s="1660">
        <f t="shared" ref="F37:F40" si="8">D36+F36</f>
        <v>6435094.9092474589</v>
      </c>
      <c r="G37" s="1660"/>
      <c r="H37" s="1660">
        <f>$H$32+SUM($N$30:$N$32)</f>
        <v>256253.8800975419</v>
      </c>
      <c r="I37" s="1660"/>
      <c r="J37" s="1660">
        <f t="shared" ref="J37:J40" si="9">F37+H37</f>
        <v>6691348.7893450009</v>
      </c>
      <c r="K37" s="1661"/>
      <c r="L37" s="481">
        <f>+'SWEPCO WS Q Interest Rate'!E27</f>
        <v>6.7999999999999996E-3</v>
      </c>
      <c r="M37" s="482"/>
      <c r="N37" s="1660">
        <f t="shared" si="7"/>
        <v>45501.171767546002</v>
      </c>
      <c r="O37" s="1660"/>
      <c r="P37" s="1660">
        <f>SUM($D$21:D37)+SUM($N$21:N37)</f>
        <v>6823837.4953740314</v>
      </c>
      <c r="R37" s="286">
        <v>3</v>
      </c>
    </row>
    <row r="38" spans="2:20" ht="15.5">
      <c r="B38" s="1254">
        <f t="shared" si="6"/>
        <v>45748</v>
      </c>
      <c r="C38" s="482"/>
      <c r="D38" s="1660">
        <v>0</v>
      </c>
      <c r="E38" s="1661"/>
      <c r="F38" s="1660">
        <f t="shared" si="8"/>
        <v>6435094.9092474589</v>
      </c>
      <c r="G38" s="1660"/>
      <c r="H38" s="1660">
        <f>$H$37+SUM($N$35:$N$37)</f>
        <v>388742.58612657292</v>
      </c>
      <c r="I38" s="1660"/>
      <c r="J38" s="1660">
        <f>F38+H38</f>
        <v>6823837.4953740314</v>
      </c>
      <c r="K38" s="1661"/>
      <c r="L38" s="481">
        <f>+'SWEPCO WS Q Interest Rate'!E28</f>
        <v>6.1999999999999998E-3</v>
      </c>
      <c r="M38" s="482"/>
      <c r="N38" s="1660">
        <f t="shared" si="7"/>
        <v>42307.792471318993</v>
      </c>
      <c r="O38" s="1660"/>
      <c r="P38" s="1660">
        <f>SUM($D$21:D38)+SUM($N$21:N38)</f>
        <v>6866145.2878453508</v>
      </c>
      <c r="R38" s="286">
        <v>4</v>
      </c>
    </row>
    <row r="39" spans="2:20" ht="15.5">
      <c r="B39" s="1254">
        <f t="shared" si="6"/>
        <v>45778</v>
      </c>
      <c r="C39" s="482"/>
      <c r="D39" s="1660">
        <v>0</v>
      </c>
      <c r="E39" s="1661"/>
      <c r="F39" s="1660">
        <f t="shared" si="8"/>
        <v>6435094.9092474589</v>
      </c>
      <c r="G39" s="1660"/>
      <c r="H39" s="1660">
        <f>$H$37+SUM($N$35:$N$37)</f>
        <v>388742.58612657292</v>
      </c>
      <c r="I39" s="1660"/>
      <c r="J39" s="1660">
        <f t="shared" si="9"/>
        <v>6823837.4953740314</v>
      </c>
      <c r="K39" s="1661"/>
      <c r="L39" s="481">
        <f>+'SWEPCO WS Q Interest Rate'!E29</f>
        <v>6.4000000000000003E-3</v>
      </c>
      <c r="M39" s="482"/>
      <c r="N39" s="1660">
        <f t="shared" si="7"/>
        <v>43672.559970393806</v>
      </c>
      <c r="O39" s="1660"/>
      <c r="P39" s="1660">
        <f>SUM($D$21:D39)+SUM($N$21:N39)</f>
        <v>6909817.8478157446</v>
      </c>
      <c r="R39" s="286">
        <v>5</v>
      </c>
    </row>
    <row r="40" spans="2:20" ht="16" thickBot="1">
      <c r="B40" s="1264">
        <f t="shared" si="6"/>
        <v>45809</v>
      </c>
      <c r="C40" s="486"/>
      <c r="D40" s="1668">
        <v>0</v>
      </c>
      <c r="E40" s="1675"/>
      <c r="F40" s="1668">
        <f t="shared" si="8"/>
        <v>6435094.9092474589</v>
      </c>
      <c r="G40" s="1668"/>
      <c r="H40" s="1668">
        <f>$H$37+SUM($N$35:$N$37)</f>
        <v>388742.58612657292</v>
      </c>
      <c r="I40" s="1668"/>
      <c r="J40" s="1668">
        <f t="shared" si="9"/>
        <v>6823837.4953740314</v>
      </c>
      <c r="K40" s="1675"/>
      <c r="L40" s="485">
        <f>+'SWEPCO WS Q Interest Rate'!E30</f>
        <v>6.1999999999999998E-3</v>
      </c>
      <c r="M40" s="486"/>
      <c r="N40" s="1668">
        <f t="shared" si="7"/>
        <v>42307.792471318993</v>
      </c>
      <c r="O40" s="1668"/>
      <c r="P40" s="1668">
        <f>SUM($D$21:D40)+SUM($N$21:N40)</f>
        <v>6952125.640287064</v>
      </c>
      <c r="R40" s="286">
        <v>6</v>
      </c>
    </row>
    <row r="41" spans="2:20" ht="15.5">
      <c r="B41" s="482"/>
      <c r="C41" s="482"/>
      <c r="D41" s="1240"/>
      <c r="E41" s="1240"/>
      <c r="F41" s="1240"/>
      <c r="G41" s="1240"/>
      <c r="H41" s="1240"/>
      <c r="I41" s="1240"/>
      <c r="J41" s="1240"/>
      <c r="K41" s="1240"/>
      <c r="L41" s="482"/>
      <c r="M41" s="482"/>
      <c r="N41" s="1660"/>
      <c r="O41" s="1660"/>
      <c r="P41" s="1660"/>
    </row>
    <row r="42" spans="2:20" ht="15.5">
      <c r="B42" s="18"/>
      <c r="C42" s="18"/>
      <c r="D42" s="18"/>
      <c r="E42" s="18"/>
      <c r="F42" s="18"/>
      <c r="G42" s="18"/>
      <c r="H42" s="18"/>
      <c r="I42" s="18"/>
      <c r="J42" s="18"/>
      <c r="K42" s="18"/>
      <c r="L42" s="18"/>
      <c r="M42" s="18"/>
      <c r="N42" s="1664"/>
      <c r="O42" s="1664"/>
      <c r="P42" s="1664"/>
    </row>
    <row r="43" spans="2:20" ht="15.5">
      <c r="B43" s="1265" t="s">
        <v>716</v>
      </c>
      <c r="C43" s="1266"/>
      <c r="D43" s="1266"/>
      <c r="E43" s="1266"/>
      <c r="F43" s="1266"/>
      <c r="G43" s="1266"/>
      <c r="H43" s="1266"/>
      <c r="I43" s="1266"/>
      <c r="J43" s="1266"/>
      <c r="K43" s="1266"/>
      <c r="L43" s="1266"/>
      <c r="M43" s="1266"/>
      <c r="N43" s="1276"/>
      <c r="O43" s="1669"/>
      <c r="P43" s="1670">
        <f>P40</f>
        <v>6952125.640287064</v>
      </c>
    </row>
    <row r="44" spans="2:20" ht="15.5">
      <c r="B44" s="482" t="s">
        <v>717</v>
      </c>
      <c r="C44" s="18"/>
      <c r="D44" s="18"/>
      <c r="E44" s="18"/>
      <c r="F44" s="18"/>
      <c r="G44" s="18"/>
      <c r="H44" s="18"/>
      <c r="I44" s="18"/>
      <c r="J44" s="18"/>
      <c r="K44" s="18"/>
      <c r="L44" s="18"/>
      <c r="M44" s="18"/>
      <c r="O44" s="1671"/>
      <c r="P44" s="1662">
        <f>+F13</f>
        <v>6435094.909247458</v>
      </c>
    </row>
    <row r="45" spans="2:20" ht="15.5">
      <c r="B45" s="1269" t="s">
        <v>718</v>
      </c>
      <c r="C45" s="1270"/>
      <c r="D45" s="1270"/>
      <c r="E45" s="1270"/>
      <c r="F45" s="1270"/>
      <c r="G45" s="1270"/>
      <c r="H45" s="1270"/>
      <c r="I45" s="1270"/>
      <c r="J45" s="1270"/>
      <c r="K45" s="1270"/>
      <c r="L45" s="1270"/>
      <c r="M45" s="1270"/>
      <c r="N45" s="1277"/>
      <c r="O45" s="1672"/>
      <c r="P45" s="1673">
        <f>P43-P44</f>
        <v>517030.73103960603</v>
      </c>
    </row>
    <row r="47" spans="2:20" ht="15.5">
      <c r="B47" s="2377" t="s">
        <v>940</v>
      </c>
      <c r="C47" s="2377"/>
      <c r="D47" s="2377"/>
      <c r="E47" s="2377"/>
      <c r="F47" s="2377"/>
      <c r="G47" s="2377"/>
      <c r="H47" s="2377"/>
      <c r="I47" s="2377"/>
      <c r="J47" s="2377"/>
      <c r="K47" s="2377"/>
      <c r="L47" s="2377"/>
      <c r="M47" s="2377"/>
      <c r="N47" s="2377"/>
      <c r="O47" s="1272"/>
      <c r="P47" s="1272"/>
      <c r="T47" s="1666"/>
    </row>
    <row r="48" spans="2:20" ht="17.25" customHeight="1">
      <c r="B48" s="2377"/>
      <c r="C48" s="2377"/>
      <c r="D48" s="2377"/>
      <c r="E48" s="2377"/>
      <c r="F48" s="2377"/>
      <c r="G48" s="2377"/>
      <c r="H48" s="2377"/>
      <c r="I48" s="2377"/>
      <c r="J48" s="2377"/>
      <c r="K48" s="2377"/>
      <c r="L48" s="2377"/>
      <c r="M48" s="2377"/>
      <c r="N48" s="2377"/>
    </row>
    <row r="50" spans="2:14">
      <c r="B50" s="2377" t="s">
        <v>942</v>
      </c>
      <c r="C50" s="2377"/>
      <c r="D50" s="2377"/>
      <c r="E50" s="2377"/>
      <c r="F50" s="2377"/>
      <c r="G50" s="2377"/>
      <c r="H50" s="2377"/>
      <c r="I50" s="2377"/>
      <c r="J50" s="2377"/>
      <c r="K50" s="2377"/>
      <c r="L50" s="2377"/>
      <c r="M50" s="2377"/>
      <c r="N50" s="2377"/>
    </row>
    <row r="51" spans="2:14" ht="21.75" customHeight="1">
      <c r="B51" s="2377"/>
      <c r="C51" s="2377"/>
      <c r="D51" s="2377"/>
      <c r="E51" s="2377"/>
      <c r="F51" s="2377"/>
      <c r="G51" s="2377"/>
      <c r="H51" s="2377"/>
      <c r="I51" s="2377"/>
      <c r="J51" s="2377"/>
      <c r="K51" s="2377"/>
      <c r="L51" s="2377"/>
      <c r="M51" s="2377"/>
      <c r="N51" s="2377"/>
    </row>
    <row r="53" spans="2:14" ht="15.5">
      <c r="B53" s="1250"/>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1" fitToHeight="0" orientation="portrait" r:id="rId1"/>
  <headerFooter>
    <oddHeader>&amp;RAEP - SPP Formula Rate
TCOS - WS O
Page: &amp;P of &amp;N</oddHeader>
  </headerFooter>
  <colBreaks count="1" manualBreakCount="1">
    <brk id="14"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70"/>
  <sheetViews>
    <sheetView zoomScaleNormal="100" workbookViewId="0">
      <selection activeCell="D14" sqref="D14"/>
    </sheetView>
  </sheetViews>
  <sheetFormatPr defaultColWidth="9.1796875" defaultRowHeight="12.5"/>
  <cols>
    <col min="1" max="1" width="1.54296875" style="286" customWidth="1"/>
    <col min="2" max="2" width="25.1796875" style="286" customWidth="1"/>
    <col min="3" max="3" width="1.54296875" style="286" customWidth="1"/>
    <col min="4" max="4" width="22.54296875" style="286" customWidth="1"/>
    <col min="5" max="5" width="1.54296875" style="286" customWidth="1"/>
    <col min="6" max="6" width="24.81640625" style="286" customWidth="1"/>
    <col min="7" max="7" width="1.54296875" style="286"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3" style="286" hidden="1" customWidth="1"/>
    <col min="19" max="19" width="9.1796875" style="286"/>
    <col min="20" max="20" width="3" style="286" bestFit="1" customWidth="1"/>
    <col min="21" max="16384" width="9.1796875" style="286"/>
  </cols>
  <sheetData>
    <row r="1" spans="1:18" ht="15.5">
      <c r="A1" s="18"/>
    </row>
    <row r="2" spans="1:18" ht="15.5">
      <c r="A2" s="342"/>
    </row>
    <row r="3" spans="1:18" ht="15.5">
      <c r="A3" s="342"/>
    </row>
    <row r="4" spans="1:18" ht="15.5">
      <c r="B4" s="2378" t="s">
        <v>644</v>
      </c>
      <c r="C4" s="2378"/>
      <c r="D4" s="2378"/>
      <c r="E4" s="2378"/>
      <c r="F4" s="2378"/>
      <c r="G4" s="2378"/>
      <c r="H4" s="2378"/>
      <c r="I4" s="2378"/>
      <c r="J4" s="2378"/>
      <c r="K4" s="2378"/>
      <c r="L4" s="2378"/>
      <c r="M4" s="2378"/>
      <c r="N4" s="2378"/>
      <c r="O4" s="2378"/>
      <c r="P4" s="2378"/>
    </row>
    <row r="5" spans="1:18" ht="15.5">
      <c r="B5" s="2379" t="str">
        <f>+'SWEPCO WS A-1 - Plant'!A3</f>
        <v xml:space="preserve">Actual / Projected 2024 Rate Year Cost of Service Formula Rate </v>
      </c>
      <c r="C5" s="2379"/>
      <c r="D5" s="2379"/>
      <c r="E5" s="2379"/>
      <c r="F5" s="2379"/>
      <c r="G5" s="2379"/>
      <c r="H5" s="2379"/>
      <c r="I5" s="2379"/>
      <c r="J5" s="2379"/>
      <c r="K5" s="2379"/>
      <c r="L5" s="2379"/>
      <c r="M5" s="2379"/>
      <c r="N5" s="2379"/>
      <c r="O5" s="2379"/>
      <c r="P5" s="2379"/>
    </row>
    <row r="6" spans="1:18" ht="15.5">
      <c r="B6" s="2379" t="s">
        <v>944</v>
      </c>
      <c r="C6" s="2379"/>
      <c r="D6" s="2379"/>
      <c r="E6" s="2379"/>
      <c r="F6" s="2379"/>
      <c r="G6" s="2379"/>
      <c r="H6" s="2379"/>
      <c r="I6" s="2379"/>
      <c r="J6" s="2379"/>
      <c r="K6" s="2379"/>
      <c r="L6" s="2379"/>
      <c r="M6" s="2379"/>
      <c r="N6" s="2379"/>
      <c r="O6" s="2379"/>
      <c r="P6" s="2379"/>
    </row>
    <row r="7" spans="1:18" ht="15.5">
      <c r="B7" s="2340" t="str">
        <f>+'SWEPCO TCOS'!F8</f>
        <v>SOUTHWESTERN ELECTRIC POWER COMPANY</v>
      </c>
      <c r="C7" s="2340"/>
      <c r="D7" s="2340"/>
      <c r="E7" s="2340"/>
      <c r="F7" s="2340"/>
      <c r="G7" s="2340"/>
      <c r="H7" s="2340"/>
      <c r="I7" s="2340"/>
      <c r="J7" s="2340"/>
      <c r="K7" s="2340"/>
      <c r="L7" s="2340"/>
      <c r="M7" s="2340"/>
      <c r="N7" s="2340"/>
      <c r="O7" s="2340"/>
      <c r="P7" s="2340"/>
      <c r="Q7" s="1274"/>
      <c r="R7" s="1274"/>
    </row>
    <row r="10" spans="1:18" ht="16" thickBot="1">
      <c r="B10" s="2091"/>
      <c r="C10" s="482"/>
      <c r="D10" s="482"/>
      <c r="E10" s="482"/>
      <c r="F10" s="482"/>
      <c r="G10" s="482"/>
      <c r="H10" s="482"/>
      <c r="I10" s="482"/>
      <c r="J10" s="482"/>
      <c r="K10" s="482"/>
      <c r="O10" s="482"/>
      <c r="P10" s="482"/>
    </row>
    <row r="11" spans="1:18" ht="51">
      <c r="B11" s="1230" t="str">
        <f>"True up Revenue Requirement For Year "&amp;J11&amp;" Available May, "&amp;J12</f>
        <v>True up Revenue Requirement For Year 2024 Available May, 2025</v>
      </c>
      <c r="C11" s="482"/>
      <c r="D11" s="1230" t="s">
        <v>970</v>
      </c>
      <c r="E11" s="1231"/>
      <c r="F11" s="1232" t="s">
        <v>699</v>
      </c>
      <c r="G11" s="18"/>
      <c r="H11" s="1233" t="s">
        <v>700</v>
      </c>
      <c r="I11" s="482"/>
      <c r="J11" s="1234">
        <f>+'SWEPCO TCOS'!N2</f>
        <v>2024</v>
      </c>
      <c r="K11" s="482"/>
      <c r="O11" s="18"/>
      <c r="P11" s="18"/>
    </row>
    <row r="12" spans="1:18" ht="15.5">
      <c r="B12" s="1235" t="s">
        <v>254</v>
      </c>
      <c r="C12" s="482"/>
      <c r="D12" s="1235"/>
      <c r="E12" s="1231"/>
      <c r="F12" s="1236"/>
      <c r="G12" s="18"/>
      <c r="H12" s="1237" t="s">
        <v>701</v>
      </c>
      <c r="I12" s="1238"/>
      <c r="J12" s="354">
        <f>J11+1</f>
        <v>2025</v>
      </c>
      <c r="O12" s="18"/>
      <c r="P12" s="18"/>
    </row>
    <row r="13" spans="1:18" ht="16" thickBot="1">
      <c r="B13" s="490">
        <f>+'Sch 1 Rates'!L22</f>
        <v>1106762.5822241486</v>
      </c>
      <c r="C13" s="491" t="s">
        <v>702</v>
      </c>
      <c r="D13" s="2446">
        <v>1018363.3060989042</v>
      </c>
      <c r="E13" s="492" t="s">
        <v>703</v>
      </c>
      <c r="F13" s="493">
        <f>IF(B13=0,0,D13-B13)</f>
        <v>-88399.276125244331</v>
      </c>
      <c r="G13" s="1239"/>
      <c r="H13" s="1233" t="s">
        <v>704</v>
      </c>
      <c r="I13" s="1240"/>
      <c r="J13" s="1241">
        <f>J12+1</f>
        <v>2026</v>
      </c>
      <c r="O13" s="18"/>
      <c r="P13" s="18"/>
    </row>
    <row r="14" spans="1:18" ht="15.5">
      <c r="B14" s="1240"/>
      <c r="C14" s="1241"/>
      <c r="D14" s="1240"/>
      <c r="E14" s="1240"/>
      <c r="F14" s="1240"/>
      <c r="G14" s="1240"/>
      <c r="H14" s="18"/>
      <c r="I14" s="18"/>
      <c r="O14" s="18"/>
      <c r="P14" s="18"/>
    </row>
    <row r="15" spans="1:18" ht="16" thickBot="1">
      <c r="B15" s="1242"/>
      <c r="C15" s="1243"/>
      <c r="D15" s="1242"/>
      <c r="E15" s="1242"/>
      <c r="F15" s="1242"/>
      <c r="G15" s="1242"/>
      <c r="H15" s="1242"/>
      <c r="I15" s="1242"/>
      <c r="J15" s="1242"/>
      <c r="K15" s="1242"/>
      <c r="L15" s="1242"/>
      <c r="M15" s="1242"/>
      <c r="N15" s="1244"/>
      <c r="O15" s="1244"/>
      <c r="P15" s="1244"/>
    </row>
    <row r="16" spans="1:18" ht="15.5">
      <c r="B16" s="1245"/>
      <c r="C16" s="1241"/>
      <c r="D16" s="1240"/>
      <c r="E16" s="1240"/>
      <c r="F16" s="1240"/>
      <c r="G16" s="1240"/>
      <c r="H16" s="1240"/>
      <c r="I16" s="1240"/>
      <c r="J16" s="1240"/>
      <c r="K16" s="1240"/>
      <c r="L16" s="1240"/>
      <c r="M16" s="1240"/>
      <c r="N16" s="18"/>
      <c r="O16" s="18"/>
      <c r="P16" s="18"/>
    </row>
    <row r="17" spans="2:18" ht="62">
      <c r="B17" s="1246" t="s">
        <v>705</v>
      </c>
      <c r="C17" s="1241"/>
      <c r="D17" s="1246" t="s">
        <v>706</v>
      </c>
      <c r="E17" s="1246"/>
      <c r="F17" s="1246" t="s">
        <v>707</v>
      </c>
      <c r="G17" s="1246"/>
      <c r="H17" s="1246" t="s">
        <v>708</v>
      </c>
      <c r="I17" s="1240"/>
      <c r="J17" s="1247" t="s">
        <v>709</v>
      </c>
      <c r="K17" s="1240"/>
      <c r="L17" s="1246" t="s">
        <v>948</v>
      </c>
      <c r="M17" s="1248"/>
      <c r="N17" s="1247" t="s">
        <v>710</v>
      </c>
      <c r="O17" s="1249"/>
      <c r="P17" s="1246" t="s">
        <v>712</v>
      </c>
    </row>
    <row r="18" spans="2:18" ht="15.5">
      <c r="B18" s="1250"/>
      <c r="C18" s="1241"/>
      <c r="D18" s="18"/>
      <c r="E18" s="18"/>
      <c r="F18" s="18"/>
      <c r="G18" s="18"/>
      <c r="H18" s="18"/>
      <c r="I18" s="1659"/>
      <c r="J18" s="1659"/>
      <c r="K18" s="1659"/>
      <c r="N18" s="18"/>
      <c r="O18" s="18"/>
      <c r="P18" s="18"/>
    </row>
    <row r="19" spans="2:18" ht="15.5">
      <c r="B19" s="1275" t="s">
        <v>713</v>
      </c>
      <c r="C19" s="1241"/>
      <c r="D19" s="1241"/>
      <c r="E19" s="1241"/>
      <c r="F19" s="1241"/>
      <c r="G19" s="1241"/>
      <c r="H19" s="1241"/>
      <c r="I19" s="1241"/>
      <c r="J19" s="1241"/>
      <c r="K19" s="1241"/>
      <c r="L19" s="18"/>
      <c r="M19" s="18"/>
      <c r="N19" s="1248"/>
      <c r="O19" s="1241"/>
      <c r="P19" s="1241"/>
    </row>
    <row r="20" spans="2:18" ht="15.5">
      <c r="B20" s="1253" t="s">
        <v>127</v>
      </c>
      <c r="C20" s="1241"/>
      <c r="D20" s="1241"/>
      <c r="E20" s="1241"/>
      <c r="F20" s="1241"/>
      <c r="G20" s="1241"/>
      <c r="H20" s="1241"/>
      <c r="I20" s="1241"/>
      <c r="J20" s="1241"/>
      <c r="K20" s="1241"/>
      <c r="L20" s="18"/>
      <c r="M20" s="18"/>
      <c r="N20" s="1248"/>
      <c r="O20" s="1241"/>
      <c r="P20" s="1241"/>
    </row>
    <row r="21" spans="2:18" ht="15.5">
      <c r="B21" s="1254">
        <f t="shared" ref="B21:B32" si="0">DATE($J$11,R21,1)</f>
        <v>45292</v>
      </c>
      <c r="C21" s="482"/>
      <c r="D21" s="1660">
        <f>F13/12</f>
        <v>-7366.6063437703606</v>
      </c>
      <c r="E21" s="1661"/>
      <c r="F21" s="1660">
        <v>0</v>
      </c>
      <c r="G21" s="1660"/>
      <c r="H21" s="1660">
        <v>0</v>
      </c>
      <c r="I21" s="1660"/>
      <c r="J21" s="1660">
        <f>F21+H21</f>
        <v>0</v>
      </c>
      <c r="K21" s="1661"/>
      <c r="L21" s="481">
        <f>+'SWEPCO WS Q Interest Rate'!E13</f>
        <v>7.1999999999999998E-3</v>
      </c>
      <c r="M21" s="482"/>
      <c r="N21" s="1660">
        <f t="shared" ref="N21:N32" si="1">J21*L21</f>
        <v>0</v>
      </c>
      <c r="O21" s="1660"/>
      <c r="P21" s="1660">
        <f>D21+N21</f>
        <v>-7366.6063437703606</v>
      </c>
      <c r="R21" s="286">
        <v>1</v>
      </c>
    </row>
    <row r="22" spans="2:18" ht="15.5">
      <c r="B22" s="1254">
        <f t="shared" si="0"/>
        <v>45323</v>
      </c>
      <c r="C22" s="482"/>
      <c r="D22" s="1660">
        <f>+D21</f>
        <v>-7366.6063437703606</v>
      </c>
      <c r="E22" s="1661"/>
      <c r="F22" s="1660">
        <f>D21</f>
        <v>-7366.6063437703606</v>
      </c>
      <c r="G22" s="1660"/>
      <c r="H22" s="1660">
        <v>0</v>
      </c>
      <c r="I22" s="1660"/>
      <c r="J22" s="1660">
        <f t="shared" ref="J22:J31" si="2">F22+H22</f>
        <v>-7366.6063437703606</v>
      </c>
      <c r="K22" s="1661"/>
      <c r="L22" s="481">
        <f>+'SWEPCO WS Q Interest Rate'!E14</f>
        <v>6.7999999999999996E-3</v>
      </c>
      <c r="M22" s="482"/>
      <c r="N22" s="1660">
        <f t="shared" si="1"/>
        <v>-50.092923137638451</v>
      </c>
      <c r="O22" s="1660"/>
      <c r="P22" s="1660">
        <f>SUM($D$21:D22)+SUM($N$21:N22)</f>
        <v>-14783.305610678359</v>
      </c>
      <c r="R22" s="286">
        <v>2</v>
      </c>
    </row>
    <row r="23" spans="2:18" ht="15.5">
      <c r="B23" s="1254">
        <f t="shared" si="0"/>
        <v>45352</v>
      </c>
      <c r="C23" s="482"/>
      <c r="D23" s="1660">
        <f>+D22</f>
        <v>-7366.6063437703606</v>
      </c>
      <c r="E23" s="1661"/>
      <c r="F23" s="1660">
        <f>D22+F22</f>
        <v>-14733.212687540721</v>
      </c>
      <c r="G23" s="1660"/>
      <c r="H23" s="1660">
        <v>0</v>
      </c>
      <c r="I23" s="1660"/>
      <c r="J23" s="1660">
        <f t="shared" si="2"/>
        <v>-14733.212687540721</v>
      </c>
      <c r="K23" s="1661"/>
      <c r="L23" s="481">
        <f>+'SWEPCO WS Q Interest Rate'!E15</f>
        <v>7.1999999999999998E-3</v>
      </c>
      <c r="M23" s="482"/>
      <c r="N23" s="1660">
        <f t="shared" si="1"/>
        <v>-106.0791313502932</v>
      </c>
      <c r="O23" s="1660"/>
      <c r="P23" s="1660">
        <f>SUM($D$21:D23)+SUM($N$21:N23)</f>
        <v>-22255.991085799014</v>
      </c>
      <c r="R23" s="286">
        <v>3</v>
      </c>
    </row>
    <row r="24" spans="2:18" ht="15.5">
      <c r="B24" s="1254">
        <f t="shared" si="0"/>
        <v>45383</v>
      </c>
      <c r="C24" s="482"/>
      <c r="D24" s="1660">
        <f>+D23</f>
        <v>-7366.6063437703606</v>
      </c>
      <c r="E24" s="1661"/>
      <c r="F24" s="1660">
        <f t="shared" ref="F24:F30" si="3">D23+F23</f>
        <v>-22099.819031311083</v>
      </c>
      <c r="G24" s="1660"/>
      <c r="H24" s="1660">
        <f>SUM($N$21:$N$23)</f>
        <v>-156.17205448793163</v>
      </c>
      <c r="I24" s="1660"/>
      <c r="J24" s="1660">
        <f t="shared" si="2"/>
        <v>-22255.991085799014</v>
      </c>
      <c r="K24" s="1661"/>
      <c r="L24" s="481">
        <f>+'SWEPCO WS Q Interest Rate'!E16</f>
        <v>7.0000000000000001E-3</v>
      </c>
      <c r="M24" s="482"/>
      <c r="N24" s="1660">
        <f t="shared" si="1"/>
        <v>-155.79193760059312</v>
      </c>
      <c r="O24" s="1660"/>
      <c r="P24" s="1660">
        <f>SUM($D$21:D24)+SUM($N$21:N24)</f>
        <v>-29778.389367169966</v>
      </c>
      <c r="R24" s="286">
        <v>4</v>
      </c>
    </row>
    <row r="25" spans="2:18" ht="15.5">
      <c r="B25" s="1254">
        <f t="shared" si="0"/>
        <v>45413</v>
      </c>
      <c r="C25" s="482"/>
      <c r="D25" s="1660">
        <f t="shared" ref="D25:D30" si="4">+D24</f>
        <v>-7366.6063437703606</v>
      </c>
      <c r="E25" s="1661"/>
      <c r="F25" s="1660">
        <f t="shared" si="3"/>
        <v>-29466.425375081442</v>
      </c>
      <c r="G25" s="1660"/>
      <c r="H25" s="1660">
        <f t="shared" ref="H25:H26" si="5">SUM($N$21:$N$23)</f>
        <v>-156.17205448793163</v>
      </c>
      <c r="I25" s="1660"/>
      <c r="J25" s="1660">
        <f t="shared" si="2"/>
        <v>-29622.597429569374</v>
      </c>
      <c r="K25" s="1661"/>
      <c r="L25" s="481">
        <f>+'SWEPCO WS Q Interest Rate'!E17</f>
        <v>7.1999999999999998E-3</v>
      </c>
      <c r="M25" s="482"/>
      <c r="N25" s="1660">
        <f t="shared" si="1"/>
        <v>-213.28270149289949</v>
      </c>
      <c r="O25" s="1660"/>
      <c r="P25" s="1660">
        <f>SUM($D$21:D25)+SUM($N$21:N25)</f>
        <v>-37358.278412433225</v>
      </c>
      <c r="R25" s="286">
        <v>5</v>
      </c>
    </row>
    <row r="26" spans="2:18" ht="15.5">
      <c r="B26" s="1254">
        <f t="shared" si="0"/>
        <v>45444</v>
      </c>
      <c r="C26" s="482"/>
      <c r="D26" s="1660">
        <f t="shared" si="4"/>
        <v>-7366.6063437703606</v>
      </c>
      <c r="E26" s="1661"/>
      <c r="F26" s="1660">
        <f t="shared" si="3"/>
        <v>-36833.031718851802</v>
      </c>
      <c r="G26" s="1660"/>
      <c r="H26" s="1660">
        <f t="shared" si="5"/>
        <v>-156.17205448793163</v>
      </c>
      <c r="I26" s="1660"/>
      <c r="J26" s="1660">
        <f t="shared" si="2"/>
        <v>-36989.20377333973</v>
      </c>
      <c r="K26" s="1661"/>
      <c r="L26" s="481">
        <f>+'SWEPCO WS Q Interest Rate'!E18</f>
        <v>7.0000000000000001E-3</v>
      </c>
      <c r="M26" s="482"/>
      <c r="N26" s="1660">
        <f t="shared" si="1"/>
        <v>-258.92442641337811</v>
      </c>
      <c r="O26" s="1660"/>
      <c r="P26" s="1660">
        <f>SUM($D$21:D26)+SUM($N$21:N26)</f>
        <v>-44983.809182616969</v>
      </c>
      <c r="R26" s="286">
        <v>6</v>
      </c>
    </row>
    <row r="27" spans="2:18" ht="15.5">
      <c r="B27" s="1254">
        <f t="shared" si="0"/>
        <v>45474</v>
      </c>
      <c r="C27" s="482"/>
      <c r="D27" s="1660">
        <f t="shared" si="4"/>
        <v>-7366.6063437703606</v>
      </c>
      <c r="E27" s="1661"/>
      <c r="F27" s="1660">
        <f t="shared" si="3"/>
        <v>-44199.638062622165</v>
      </c>
      <c r="G27" s="1660"/>
      <c r="H27" s="1660">
        <f>$H$26+SUM($N$24:$N$26)</f>
        <v>-784.17111999480232</v>
      </c>
      <c r="I27" s="1660"/>
      <c r="J27" s="1660">
        <f t="shared" si="2"/>
        <v>-44983.809182616969</v>
      </c>
      <c r="K27" s="1661"/>
      <c r="L27" s="481">
        <f>+'SWEPCO WS Q Interest Rate'!E19</f>
        <v>7.1999999999999998E-3</v>
      </c>
      <c r="M27" s="482"/>
      <c r="N27" s="1660">
        <f t="shared" si="1"/>
        <v>-323.88342611484217</v>
      </c>
      <c r="O27" s="1660"/>
      <c r="P27" s="1660">
        <f>SUM($D$21:D27)+SUM($N$21:N27)</f>
        <v>-52674.298952502169</v>
      </c>
      <c r="R27" s="286">
        <v>7</v>
      </c>
    </row>
    <row r="28" spans="2:18" ht="15.5">
      <c r="B28" s="1254">
        <f t="shared" si="0"/>
        <v>45505</v>
      </c>
      <c r="C28" s="482"/>
      <c r="D28" s="1660">
        <f t="shared" si="4"/>
        <v>-7366.6063437703606</v>
      </c>
      <c r="E28" s="1661"/>
      <c r="F28" s="1660">
        <f t="shared" si="3"/>
        <v>-51566.244406392529</v>
      </c>
      <c r="G28" s="1660"/>
      <c r="H28" s="1660">
        <f>$H$26+SUM($N$24:$N$26)</f>
        <v>-784.17111999480232</v>
      </c>
      <c r="I28" s="1660"/>
      <c r="J28" s="1660">
        <f t="shared" si="2"/>
        <v>-52350.415526387333</v>
      </c>
      <c r="K28" s="1661"/>
      <c r="L28" s="481">
        <f>+'SWEPCO WS Q Interest Rate'!E20</f>
        <v>7.1999999999999998E-3</v>
      </c>
      <c r="M28" s="482"/>
      <c r="N28" s="1660">
        <f t="shared" si="1"/>
        <v>-376.92299178998877</v>
      </c>
      <c r="O28" s="1660"/>
      <c r="P28" s="1660">
        <f>SUM($D$21:D28)+SUM($N$21:N28)</f>
        <v>-60417.828288062527</v>
      </c>
      <c r="R28" s="286">
        <v>8</v>
      </c>
    </row>
    <row r="29" spans="2:18" ht="15.5">
      <c r="B29" s="1254">
        <f t="shared" si="0"/>
        <v>45536</v>
      </c>
      <c r="C29" s="482"/>
      <c r="D29" s="1660">
        <f t="shared" si="4"/>
        <v>-7366.6063437703606</v>
      </c>
      <c r="E29" s="1661"/>
      <c r="F29" s="1660">
        <f t="shared" si="3"/>
        <v>-58932.850750162892</v>
      </c>
      <c r="G29" s="1660"/>
      <c r="H29" s="1660">
        <f>$H$26+SUM($N$24:$N$26)</f>
        <v>-784.17111999480232</v>
      </c>
      <c r="I29" s="1660"/>
      <c r="J29" s="1660">
        <f t="shared" si="2"/>
        <v>-59717.021870157696</v>
      </c>
      <c r="K29" s="1661"/>
      <c r="L29" s="481">
        <f>+'SWEPCO WS Q Interest Rate'!E21</f>
        <v>7.0000000000000001E-3</v>
      </c>
      <c r="M29" s="482"/>
      <c r="N29" s="1660">
        <f t="shared" si="1"/>
        <v>-418.01915309110387</v>
      </c>
      <c r="O29" s="1660"/>
      <c r="P29" s="1660">
        <f>SUM($D$21:D29)+SUM($N$21:N29)</f>
        <v>-68202.453784923986</v>
      </c>
      <c r="R29" s="286">
        <v>9</v>
      </c>
    </row>
    <row r="30" spans="2:18" ht="15.5">
      <c r="B30" s="1254">
        <f t="shared" si="0"/>
        <v>45566</v>
      </c>
      <c r="C30" s="482"/>
      <c r="D30" s="1660">
        <f t="shared" si="4"/>
        <v>-7366.6063437703606</v>
      </c>
      <c r="E30" s="1661"/>
      <c r="F30" s="1660">
        <f t="shared" si="3"/>
        <v>-66299.457093933248</v>
      </c>
      <c r="G30" s="1660"/>
      <c r="H30" s="1660">
        <f>$H$29+SUM($N$27:$N$29)</f>
        <v>-1902.9966909907371</v>
      </c>
      <c r="I30" s="1660"/>
      <c r="J30" s="1660">
        <f t="shared" si="2"/>
        <v>-68202.453784923986</v>
      </c>
      <c r="K30" s="1661"/>
      <c r="L30" s="481">
        <f>+'SWEPCO WS Q Interest Rate'!E22</f>
        <v>7.1999999999999998E-3</v>
      </c>
      <c r="M30" s="482"/>
      <c r="N30" s="1660">
        <f t="shared" si="1"/>
        <v>-491.0576672514527</v>
      </c>
      <c r="O30" s="1660"/>
      <c r="P30" s="1660">
        <f>SUM($D$21:D30)+SUM($N$21:N30)</f>
        <v>-76060.1177959458</v>
      </c>
      <c r="R30" s="286">
        <v>10</v>
      </c>
    </row>
    <row r="31" spans="2:18" ht="15.5">
      <c r="B31" s="1254">
        <f t="shared" si="0"/>
        <v>45597</v>
      </c>
      <c r="C31" s="482"/>
      <c r="D31" s="1660">
        <f>+D30</f>
        <v>-7366.6063437703606</v>
      </c>
      <c r="E31" s="1661"/>
      <c r="F31" s="1660">
        <f>D30+F30</f>
        <v>-73666.063437703604</v>
      </c>
      <c r="G31" s="1660"/>
      <c r="H31" s="1660">
        <f>$H$29+SUM($N$27:$N$29)</f>
        <v>-1902.9966909907371</v>
      </c>
      <c r="I31" s="1660"/>
      <c r="J31" s="1660">
        <f t="shared" si="2"/>
        <v>-75569.060128694342</v>
      </c>
      <c r="K31" s="1661"/>
      <c r="L31" s="481">
        <f>+'SWEPCO WS Q Interest Rate'!E23</f>
        <v>7.0000000000000001E-3</v>
      </c>
      <c r="M31" s="482"/>
      <c r="N31" s="1660">
        <f t="shared" si="1"/>
        <v>-528.98342090086044</v>
      </c>
      <c r="O31" s="1660"/>
      <c r="P31" s="1660">
        <f>SUM($D$21:D31)+SUM($N$21:N31)</f>
        <v>-83955.707560617011</v>
      </c>
      <c r="R31" s="286">
        <v>11</v>
      </c>
    </row>
    <row r="32" spans="2:18" ht="15.5">
      <c r="B32" s="1254">
        <f t="shared" si="0"/>
        <v>45627</v>
      </c>
      <c r="C32" s="482"/>
      <c r="D32" s="1660">
        <f>+D31</f>
        <v>-7366.6063437703606</v>
      </c>
      <c r="E32" s="1661"/>
      <c r="F32" s="1660">
        <f>D31+F31</f>
        <v>-81032.66978147396</v>
      </c>
      <c r="G32" s="1660"/>
      <c r="H32" s="1660">
        <f>$H$29+SUM($N$27:$N$29)</f>
        <v>-1902.9966909907371</v>
      </c>
      <c r="I32" s="1660"/>
      <c r="J32" s="1660">
        <f>F32+H32</f>
        <v>-82935.666472464698</v>
      </c>
      <c r="K32" s="1661"/>
      <c r="L32" s="481">
        <f>+'SWEPCO WS Q Interest Rate'!E24</f>
        <v>7.1999999999999998E-3</v>
      </c>
      <c r="M32" s="482"/>
      <c r="N32" s="1660">
        <f t="shared" si="1"/>
        <v>-597.1367986017458</v>
      </c>
      <c r="O32" s="1660"/>
      <c r="P32" s="1660">
        <f>SUM($D$21:D32)+SUM($N$21:N32)</f>
        <v>-91919.45070298911</v>
      </c>
      <c r="R32" s="286">
        <v>12</v>
      </c>
    </row>
    <row r="33" spans="2:20" ht="15.5">
      <c r="B33" s="482"/>
      <c r="C33" s="482"/>
      <c r="D33" s="1660"/>
      <c r="E33" s="1661"/>
      <c r="F33" s="1660"/>
      <c r="G33" s="1660"/>
      <c r="H33" s="1660"/>
      <c r="I33" s="1660"/>
      <c r="J33" s="1660"/>
      <c r="K33" s="1661"/>
      <c r="L33" s="1241"/>
      <c r="M33" s="482"/>
      <c r="N33" s="1662"/>
      <c r="O33" s="1660"/>
      <c r="P33" s="1663"/>
    </row>
    <row r="34" spans="2:20" ht="15.5">
      <c r="B34" s="1253" t="s">
        <v>714</v>
      </c>
      <c r="C34" s="482"/>
      <c r="D34" s="1660"/>
      <c r="E34" s="1661"/>
      <c r="F34" s="1660"/>
      <c r="G34" s="1660"/>
      <c r="H34" s="1660"/>
      <c r="I34" s="1660"/>
      <c r="J34" s="1660"/>
      <c r="K34" s="1661"/>
      <c r="L34" s="1241"/>
      <c r="M34" s="482"/>
      <c r="N34" s="1660"/>
      <c r="O34" s="1660"/>
      <c r="P34" s="1664"/>
    </row>
    <row r="35" spans="2:20" ht="15.5">
      <c r="B35" s="1254">
        <f t="shared" ref="B35:B40" si="6">DATE($J$12,R35,1)</f>
        <v>45658</v>
      </c>
      <c r="C35" s="482"/>
      <c r="D35" s="1660">
        <v>0</v>
      </c>
      <c r="E35" s="1661"/>
      <c r="F35" s="1660">
        <f>D32+F32</f>
        <v>-88399.276125244316</v>
      </c>
      <c r="G35" s="1660"/>
      <c r="H35" s="1660">
        <f>$H$32+SUM($N$30:$N$32)</f>
        <v>-3520.1745777447959</v>
      </c>
      <c r="I35" s="1660"/>
      <c r="J35" s="1660">
        <f>F35+H35</f>
        <v>-91919.45070298911</v>
      </c>
      <c r="K35" s="1661"/>
      <c r="L35" s="481">
        <f>+'SWEPCO WS Q Interest Rate'!E25</f>
        <v>6.7999999999999996E-3</v>
      </c>
      <c r="M35" s="482"/>
      <c r="N35" s="1660">
        <f t="shared" ref="N35:N40" si="7">J35*L35</f>
        <v>-625.05226478032591</v>
      </c>
      <c r="O35" s="1660"/>
      <c r="P35" s="1660">
        <f>SUM($D$21:D35)+SUM($N$21:N35)</f>
        <v>-92544.50296776944</v>
      </c>
      <c r="R35" s="286">
        <v>1</v>
      </c>
    </row>
    <row r="36" spans="2:20" ht="15.5">
      <c r="B36" s="1254">
        <f t="shared" si="6"/>
        <v>45689</v>
      </c>
      <c r="C36" s="482"/>
      <c r="D36" s="1660">
        <v>0</v>
      </c>
      <c r="E36" s="1661"/>
      <c r="F36" s="1660">
        <f>D35+F35</f>
        <v>-88399.276125244316</v>
      </c>
      <c r="G36" s="1660"/>
      <c r="H36" s="1660">
        <f>$H$32+SUM($N$30:$N$32)</f>
        <v>-3520.1745777447959</v>
      </c>
      <c r="I36" s="1660"/>
      <c r="J36" s="1660">
        <f>F36+H36</f>
        <v>-91919.45070298911</v>
      </c>
      <c r="K36" s="1661"/>
      <c r="L36" s="481">
        <f>+'SWEPCO WS Q Interest Rate'!E26</f>
        <v>6.1999999999999998E-3</v>
      </c>
      <c r="M36" s="482"/>
      <c r="N36" s="1660">
        <f t="shared" si="7"/>
        <v>-569.90059435853243</v>
      </c>
      <c r="O36" s="1660"/>
      <c r="P36" s="1660">
        <f>SUM($D$21:D36)+SUM($N$21:N36)</f>
        <v>-93114.403562127976</v>
      </c>
      <c r="R36" s="286">
        <v>2</v>
      </c>
    </row>
    <row r="37" spans="2:20" ht="15.5">
      <c r="B37" s="1254">
        <f t="shared" si="6"/>
        <v>45717</v>
      </c>
      <c r="C37" s="482"/>
      <c r="D37" s="1660">
        <v>0</v>
      </c>
      <c r="E37" s="1661"/>
      <c r="F37" s="1660">
        <f t="shared" ref="F37:F40" si="8">D36+F36</f>
        <v>-88399.276125244316</v>
      </c>
      <c r="G37" s="1660"/>
      <c r="H37" s="1660">
        <f>$H$32+SUM($N$30:$N$32)</f>
        <v>-3520.1745777447959</v>
      </c>
      <c r="I37" s="1660"/>
      <c r="J37" s="1660">
        <f t="shared" ref="J37:J40" si="9">F37+H37</f>
        <v>-91919.45070298911</v>
      </c>
      <c r="K37" s="1661"/>
      <c r="L37" s="481">
        <f>+'SWEPCO WS Q Interest Rate'!E27</f>
        <v>6.7999999999999996E-3</v>
      </c>
      <c r="M37" s="482"/>
      <c r="N37" s="1660">
        <f t="shared" si="7"/>
        <v>-625.05226478032591</v>
      </c>
      <c r="O37" s="1660"/>
      <c r="P37" s="1660">
        <f>SUM($D$21:D37)+SUM($N$21:N37)</f>
        <v>-93739.455826908292</v>
      </c>
      <c r="R37" s="286">
        <v>3</v>
      </c>
    </row>
    <row r="38" spans="2:20" ht="15.5">
      <c r="B38" s="1254">
        <f t="shared" si="6"/>
        <v>45748</v>
      </c>
      <c r="C38" s="482"/>
      <c r="D38" s="1660">
        <v>0</v>
      </c>
      <c r="E38" s="1661"/>
      <c r="F38" s="1660">
        <f t="shared" si="8"/>
        <v>-88399.276125244316</v>
      </c>
      <c r="G38" s="1660"/>
      <c r="H38" s="1660">
        <f>$H$37+SUM($N$35:$N$37)</f>
        <v>-5340.1797016639803</v>
      </c>
      <c r="I38" s="1660"/>
      <c r="J38" s="1660">
        <f>F38+H38</f>
        <v>-93739.455826908292</v>
      </c>
      <c r="K38" s="1661"/>
      <c r="L38" s="481">
        <f>+'SWEPCO WS Q Interest Rate'!E28</f>
        <v>6.1999999999999998E-3</v>
      </c>
      <c r="M38" s="482"/>
      <c r="N38" s="1660">
        <f t="shared" si="7"/>
        <v>-581.1846261268314</v>
      </c>
      <c r="O38" s="1660"/>
      <c r="P38" s="1660">
        <f>SUM($D$21:D38)+SUM($N$21:N38)</f>
        <v>-94320.640453035128</v>
      </c>
      <c r="R38" s="286">
        <v>4</v>
      </c>
    </row>
    <row r="39" spans="2:20" ht="15.5">
      <c r="B39" s="1254">
        <f t="shared" si="6"/>
        <v>45778</v>
      </c>
      <c r="C39" s="482"/>
      <c r="D39" s="1660">
        <v>0</v>
      </c>
      <c r="E39" s="1661"/>
      <c r="F39" s="1660">
        <f t="shared" si="8"/>
        <v>-88399.276125244316</v>
      </c>
      <c r="G39" s="1660"/>
      <c r="H39" s="1660">
        <f>$H$37+SUM($N$35:$N$37)</f>
        <v>-5340.1797016639803</v>
      </c>
      <c r="I39" s="1660"/>
      <c r="J39" s="1660">
        <f t="shared" si="9"/>
        <v>-93739.455826908292</v>
      </c>
      <c r="K39" s="1661"/>
      <c r="L39" s="481">
        <f>+'SWEPCO WS Q Interest Rate'!E29</f>
        <v>6.4000000000000003E-3</v>
      </c>
      <c r="M39" s="482"/>
      <c r="N39" s="1660">
        <f t="shared" si="7"/>
        <v>-599.93251729221311</v>
      </c>
      <c r="O39" s="1660"/>
      <c r="P39" s="1660">
        <f>SUM($D$21:D39)+SUM($N$21:N39)</f>
        <v>-94920.572970327339</v>
      </c>
      <c r="R39" s="286">
        <v>5</v>
      </c>
    </row>
    <row r="40" spans="2:20" ht="16" thickBot="1">
      <c r="B40" s="1264">
        <f t="shared" si="6"/>
        <v>45809</v>
      </c>
      <c r="C40" s="486"/>
      <c r="D40" s="1668">
        <v>0</v>
      </c>
      <c r="E40" s="1675"/>
      <c r="F40" s="1668">
        <f t="shared" si="8"/>
        <v>-88399.276125244316</v>
      </c>
      <c r="G40" s="1668"/>
      <c r="H40" s="1668">
        <f>$H$37+SUM($N$35:$N$37)</f>
        <v>-5340.1797016639803</v>
      </c>
      <c r="I40" s="1668"/>
      <c r="J40" s="1668">
        <f t="shared" si="9"/>
        <v>-93739.455826908292</v>
      </c>
      <c r="K40" s="1675"/>
      <c r="L40" s="485">
        <f>+'SWEPCO WS Q Interest Rate'!E30</f>
        <v>6.1999999999999998E-3</v>
      </c>
      <c r="M40" s="486"/>
      <c r="N40" s="1668">
        <f t="shared" si="7"/>
        <v>-581.1846261268314</v>
      </c>
      <c r="O40" s="1668"/>
      <c r="P40" s="1668">
        <f>SUM($D$21:D40)+SUM($N$21:N40)</f>
        <v>-95501.757596454176</v>
      </c>
      <c r="R40" s="286">
        <v>6</v>
      </c>
    </row>
    <row r="41" spans="2:20" ht="15.5">
      <c r="B41" s="482"/>
      <c r="C41" s="482"/>
      <c r="D41" s="1240"/>
      <c r="E41" s="1240"/>
      <c r="F41" s="1240"/>
      <c r="G41" s="1240"/>
      <c r="H41" s="1240"/>
      <c r="I41" s="1240"/>
      <c r="J41" s="1240"/>
      <c r="K41" s="1240"/>
      <c r="L41" s="482"/>
      <c r="M41" s="482"/>
      <c r="N41" s="1660"/>
      <c r="O41" s="1660"/>
      <c r="P41" s="1660"/>
    </row>
    <row r="42" spans="2:20" ht="15.5">
      <c r="B42" s="18"/>
      <c r="C42" s="18"/>
      <c r="D42" s="18"/>
      <c r="E42" s="18"/>
      <c r="F42" s="18"/>
      <c r="G42" s="18"/>
      <c r="H42" s="18"/>
      <c r="I42" s="18"/>
      <c r="J42" s="18"/>
      <c r="K42" s="18"/>
      <c r="L42" s="18"/>
      <c r="M42" s="18"/>
      <c r="N42" s="1664"/>
      <c r="O42" s="1664"/>
      <c r="P42" s="1664"/>
    </row>
    <row r="43" spans="2:20" ht="15.5">
      <c r="B43" s="1265" t="s">
        <v>716</v>
      </c>
      <c r="C43" s="1266"/>
      <c r="D43" s="1266"/>
      <c r="E43" s="1266"/>
      <c r="F43" s="1266"/>
      <c r="G43" s="1266"/>
      <c r="H43" s="1266"/>
      <c r="I43" s="1266"/>
      <c r="J43" s="1266"/>
      <c r="K43" s="1266"/>
      <c r="L43" s="1266"/>
      <c r="M43" s="1266"/>
      <c r="N43" s="1276"/>
      <c r="O43" s="1669"/>
      <c r="P43" s="1670">
        <f>P40</f>
        <v>-95501.757596454176</v>
      </c>
    </row>
    <row r="44" spans="2:20" ht="15.5">
      <c r="B44" s="482" t="s">
        <v>717</v>
      </c>
      <c r="C44" s="18"/>
      <c r="D44" s="18"/>
      <c r="E44" s="18"/>
      <c r="F44" s="18"/>
      <c r="G44" s="18"/>
      <c r="H44" s="18"/>
      <c r="I44" s="18"/>
      <c r="J44" s="18"/>
      <c r="K44" s="18"/>
      <c r="L44" s="18"/>
      <c r="M44" s="18"/>
      <c r="O44" s="1671"/>
      <c r="P44" s="1662">
        <f>+F13</f>
        <v>-88399.276125244331</v>
      </c>
    </row>
    <row r="45" spans="2:20" ht="15.5">
      <c r="B45" s="1269" t="s">
        <v>718</v>
      </c>
      <c r="C45" s="1270"/>
      <c r="D45" s="1270"/>
      <c r="E45" s="1270"/>
      <c r="F45" s="1270"/>
      <c r="G45" s="1270"/>
      <c r="H45" s="1270"/>
      <c r="I45" s="1270"/>
      <c r="J45" s="1270"/>
      <c r="K45" s="1270"/>
      <c r="L45" s="1270"/>
      <c r="M45" s="1270"/>
      <c r="N45" s="1277"/>
      <c r="O45" s="1672"/>
      <c r="P45" s="1673">
        <f>P43-P44</f>
        <v>-7102.481471209845</v>
      </c>
    </row>
    <row r="47" spans="2:20" ht="15.5">
      <c r="B47" s="2377" t="s">
        <v>940</v>
      </c>
      <c r="C47" s="2377"/>
      <c r="D47" s="2377"/>
      <c r="E47" s="2377"/>
      <c r="F47" s="2377"/>
      <c r="G47" s="2377"/>
      <c r="H47" s="2377"/>
      <c r="I47" s="2377"/>
      <c r="J47" s="2377"/>
      <c r="K47" s="2377"/>
      <c r="L47" s="2377"/>
      <c r="M47" s="2377"/>
      <c r="N47" s="2377"/>
      <c r="O47" s="1272"/>
      <c r="P47" s="1272"/>
      <c r="T47" s="1666"/>
    </row>
    <row r="48" spans="2:20" ht="17.25" customHeight="1">
      <c r="B48" s="2377"/>
      <c r="C48" s="2377"/>
      <c r="D48" s="2377"/>
      <c r="E48" s="2377"/>
      <c r="F48" s="2377"/>
      <c r="G48" s="2377"/>
      <c r="H48" s="2377"/>
      <c r="I48" s="2377"/>
      <c r="J48" s="2377"/>
      <c r="K48" s="2377"/>
      <c r="L48" s="2377"/>
      <c r="M48" s="2377"/>
      <c r="N48" s="2377"/>
    </row>
    <row r="50" spans="2:14">
      <c r="B50" s="2377" t="s">
        <v>941</v>
      </c>
      <c r="C50" s="2377"/>
      <c r="D50" s="2377"/>
      <c r="E50" s="2377"/>
      <c r="F50" s="2377"/>
      <c r="G50" s="2377"/>
      <c r="H50" s="2377"/>
      <c r="I50" s="2377"/>
      <c r="J50" s="2377"/>
      <c r="K50" s="2377"/>
      <c r="L50" s="2377"/>
      <c r="M50" s="2377"/>
      <c r="N50" s="2377"/>
    </row>
    <row r="51" spans="2:14" ht="21.75" customHeight="1">
      <c r="B51" s="2377"/>
      <c r="C51" s="2377"/>
      <c r="D51" s="2377"/>
      <c r="E51" s="2377"/>
      <c r="F51" s="2377"/>
      <c r="G51" s="2377"/>
      <c r="H51" s="2377"/>
      <c r="I51" s="2377"/>
      <c r="J51" s="2377"/>
      <c r="K51" s="2377"/>
      <c r="L51" s="2377"/>
      <c r="M51" s="2377"/>
      <c r="N51" s="2377"/>
    </row>
    <row r="53" spans="2:14" ht="15.5">
      <c r="B53" s="1250"/>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1" fitToHeight="0" orientation="portrait" r:id="rId1"/>
  <headerFooter>
    <oddHeader>&amp;RAEP - SPP Formula Rate
TCOS - WS P
Page: &amp;P of &amp;N</oddHeader>
  </headerFooter>
  <colBreaks count="1" manualBreakCount="1">
    <brk id="1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R69"/>
  <sheetViews>
    <sheetView topLeftCell="A10" zoomScaleNormal="100" workbookViewId="0">
      <selection activeCell="E13" sqref="E13:E36"/>
    </sheetView>
  </sheetViews>
  <sheetFormatPr defaultColWidth="9.1796875" defaultRowHeight="13"/>
  <cols>
    <col min="1" max="1" width="11.453125" style="1677" customWidth="1"/>
    <col min="2" max="2" width="11.54296875" style="1677" bestFit="1" customWidth="1"/>
    <col min="3" max="3" width="23.54296875" style="1677" customWidth="1"/>
    <col min="4" max="4" width="21" style="1677" customWidth="1"/>
    <col min="5" max="5" width="9.1796875" style="1677"/>
    <col min="6" max="6" width="12" style="1677" bestFit="1" customWidth="1"/>
    <col min="7" max="7" width="18.453125" style="1677" bestFit="1" customWidth="1"/>
    <col min="8" max="8" width="21.453125" style="286" customWidth="1"/>
    <col min="9" max="9" width="1.54296875" style="286" customWidth="1"/>
    <col min="10" max="10" width="21" style="286" customWidth="1"/>
    <col min="11" max="11" width="1.54296875" style="286" customWidth="1"/>
    <col min="12" max="12" width="18.453125" style="286" customWidth="1"/>
    <col min="13" max="13" width="1.54296875" style="286" customWidth="1"/>
    <col min="14" max="14" width="17" style="286" customWidth="1"/>
    <col min="15" max="15" width="1.54296875" style="286" customWidth="1"/>
    <col min="16" max="16" width="18.1796875" style="286" customWidth="1"/>
    <col min="17" max="17" width="7.54296875" style="286" bestFit="1" customWidth="1"/>
    <col min="18" max="18" width="11.453125" style="286" hidden="1" customWidth="1"/>
    <col min="19" max="19" width="9.1796875" style="286"/>
    <col min="20" max="20" width="11.453125" style="286" customWidth="1"/>
    <col min="21" max="16384" width="9.1796875" style="286"/>
  </cols>
  <sheetData>
    <row r="1" spans="1:8" ht="15.5">
      <c r="A1" s="1676"/>
    </row>
    <row r="2" spans="1:8" ht="15.5">
      <c r="A2" s="342"/>
    </row>
    <row r="3" spans="1:8" ht="15.5">
      <c r="A3" s="342"/>
    </row>
    <row r="4" spans="1:8" ht="15.5">
      <c r="A4" s="342"/>
    </row>
    <row r="5" spans="1:8" ht="15.5">
      <c r="A5" s="2385" t="s">
        <v>644</v>
      </c>
      <c r="B5" s="2385"/>
      <c r="C5" s="2385"/>
      <c r="D5" s="2385"/>
      <c r="E5" s="2385"/>
      <c r="F5" s="2385"/>
      <c r="G5" s="2385"/>
    </row>
    <row r="6" spans="1:8" ht="15.5">
      <c r="A6" s="2386" t="str">
        <f>+'SWEPCO WS A-1 - Plant'!A3</f>
        <v xml:space="preserve">Actual / Projected 2024 Rate Year Cost of Service Formula Rate </v>
      </c>
      <c r="B6" s="2386"/>
      <c r="C6" s="2386"/>
      <c r="D6" s="2386"/>
      <c r="E6" s="2386"/>
      <c r="F6" s="2386"/>
      <c r="G6" s="2386"/>
    </row>
    <row r="7" spans="1:8" ht="15.5">
      <c r="A7" s="2386" t="s">
        <v>943</v>
      </c>
      <c r="B7" s="2386"/>
      <c r="C7" s="2386"/>
      <c r="D7" s="2386"/>
      <c r="E7" s="2386"/>
      <c r="F7" s="2386"/>
      <c r="G7" s="2386"/>
    </row>
    <row r="8" spans="1:8" ht="15.75" customHeight="1">
      <c r="A8" s="2388" t="str">
        <f>+'SWEPCO TCOS'!F8</f>
        <v>SOUTHWESTERN ELECTRIC POWER COMPANY</v>
      </c>
      <c r="B8" s="2388"/>
      <c r="C8" s="2388"/>
      <c r="D8" s="2388"/>
      <c r="E8" s="2388"/>
      <c r="F8" s="2388"/>
      <c r="G8" s="2388"/>
    </row>
    <row r="10" spans="1:8" ht="13.5" customHeight="1">
      <c r="A10" s="2432" t="s">
        <v>949</v>
      </c>
      <c r="B10" s="2432"/>
      <c r="C10" s="2432"/>
      <c r="D10" s="2432"/>
      <c r="E10" s="2432"/>
      <c r="F10" s="2432"/>
      <c r="G10" s="2432"/>
    </row>
    <row r="11" spans="1:8">
      <c r="G11" s="1678"/>
    </row>
    <row r="12" spans="1:8">
      <c r="A12" s="1679"/>
      <c r="B12" s="1680" t="s">
        <v>720</v>
      </c>
    </row>
    <row r="13" spans="1:8">
      <c r="A13" s="1681">
        <v>1</v>
      </c>
      <c r="C13" s="1682">
        <f>+'SWEPCO WS N Sch 11 TU'!B19</f>
        <v>45292</v>
      </c>
      <c r="E13" s="402">
        <v>7.1999999999999998E-3</v>
      </c>
      <c r="F13" s="1683"/>
      <c r="G13"/>
      <c r="H13"/>
    </row>
    <row r="14" spans="1:8">
      <c r="A14" s="1681">
        <v>2</v>
      </c>
      <c r="C14" s="1682">
        <f>+'SWEPCO WS N Sch 11 TU'!B20</f>
        <v>45323</v>
      </c>
      <c r="E14" s="402">
        <v>6.7999999999999996E-3</v>
      </c>
      <c r="F14" s="1683"/>
      <c r="G14"/>
      <c r="H14"/>
    </row>
    <row r="15" spans="1:8">
      <c r="A15" s="1681">
        <v>3</v>
      </c>
      <c r="C15" s="1682">
        <f>+'SWEPCO WS N Sch 11 TU'!B21</f>
        <v>45352</v>
      </c>
      <c r="E15" s="402">
        <v>7.1999999999999998E-3</v>
      </c>
      <c r="F15" s="1683"/>
      <c r="G15"/>
      <c r="H15"/>
    </row>
    <row r="16" spans="1:8">
      <c r="A16" s="1681">
        <v>4</v>
      </c>
      <c r="C16" s="1682">
        <f>+'SWEPCO WS N Sch 11 TU'!B22</f>
        <v>45383</v>
      </c>
      <c r="E16" s="402">
        <v>7.0000000000000001E-3</v>
      </c>
      <c r="F16" s="1683"/>
      <c r="G16"/>
      <c r="H16"/>
    </row>
    <row r="17" spans="1:8">
      <c r="A17" s="1681">
        <v>5</v>
      </c>
      <c r="C17" s="1682">
        <f>+'SWEPCO WS N Sch 11 TU'!B23</f>
        <v>45413</v>
      </c>
      <c r="E17" s="402">
        <v>7.1999999999999998E-3</v>
      </c>
      <c r="F17" s="1684"/>
      <c r="G17"/>
      <c r="H17"/>
    </row>
    <row r="18" spans="1:8">
      <c r="A18" s="1681">
        <v>6</v>
      </c>
      <c r="C18" s="1682">
        <f>+'SWEPCO WS N Sch 11 TU'!B24</f>
        <v>45444</v>
      </c>
      <c r="E18" s="402">
        <v>7.0000000000000001E-3</v>
      </c>
      <c r="F18" s="1683"/>
      <c r="G18"/>
      <c r="H18"/>
    </row>
    <row r="19" spans="1:8">
      <c r="A19" s="1681">
        <v>7</v>
      </c>
      <c r="C19" s="1682">
        <f>+'SWEPCO WS N Sch 11 TU'!B25</f>
        <v>45474</v>
      </c>
      <c r="E19" s="402">
        <v>7.1999999999999998E-3</v>
      </c>
      <c r="F19" s="1683"/>
      <c r="G19"/>
      <c r="H19"/>
    </row>
    <row r="20" spans="1:8">
      <c r="A20" s="1681">
        <v>8</v>
      </c>
      <c r="C20" s="1682">
        <f>+'SWEPCO WS N Sch 11 TU'!B26</f>
        <v>45505</v>
      </c>
      <c r="E20" s="402">
        <v>7.1999999999999998E-3</v>
      </c>
      <c r="F20" s="1683"/>
      <c r="G20"/>
      <c r="H20"/>
    </row>
    <row r="21" spans="1:8">
      <c r="A21" s="1681">
        <v>9</v>
      </c>
      <c r="C21" s="1682">
        <f>+'SWEPCO WS N Sch 11 TU'!B27</f>
        <v>45536</v>
      </c>
      <c r="E21" s="402">
        <v>7.0000000000000001E-3</v>
      </c>
      <c r="F21" s="1683"/>
      <c r="G21"/>
      <c r="H21"/>
    </row>
    <row r="22" spans="1:8">
      <c r="A22" s="1681">
        <v>10</v>
      </c>
      <c r="C22" s="1682">
        <f>+'SWEPCO WS N Sch 11 TU'!B28</f>
        <v>45566</v>
      </c>
      <c r="E22" s="402">
        <v>7.1999999999999998E-3</v>
      </c>
      <c r="F22" s="1683"/>
      <c r="G22"/>
      <c r="H22"/>
    </row>
    <row r="23" spans="1:8">
      <c r="A23" s="1681">
        <v>11</v>
      </c>
      <c r="C23" s="1682">
        <f>+'SWEPCO WS N Sch 11 TU'!B29</f>
        <v>45597</v>
      </c>
      <c r="E23" s="402">
        <v>7.0000000000000001E-3</v>
      </c>
      <c r="F23" s="1684"/>
      <c r="G23"/>
      <c r="H23"/>
    </row>
    <row r="24" spans="1:8">
      <c r="A24" s="1681">
        <v>12</v>
      </c>
      <c r="C24" s="1682">
        <f>+'SWEPCO WS N Sch 11 TU'!B30</f>
        <v>45627</v>
      </c>
      <c r="E24" s="402">
        <v>7.1999999999999998E-3</v>
      </c>
      <c r="F24" s="1683"/>
      <c r="G24"/>
      <c r="H24"/>
    </row>
    <row r="25" spans="1:8">
      <c r="A25" s="1681">
        <f>+A24+1</f>
        <v>13</v>
      </c>
      <c r="C25" s="1682">
        <f>+'SWEPCO WS N Sch 11 TU'!B33</f>
        <v>45658</v>
      </c>
      <c r="E25" s="402">
        <v>6.7999999999999996E-3</v>
      </c>
      <c r="F25" s="1683"/>
      <c r="G25"/>
      <c r="H25"/>
    </row>
    <row r="26" spans="1:8">
      <c r="A26" s="1681">
        <f t="shared" ref="A26:A36" si="0">+A25+1</f>
        <v>14</v>
      </c>
      <c r="C26" s="1682">
        <f>+'SWEPCO WS N Sch 11 TU'!B34</f>
        <v>45689</v>
      </c>
      <c r="E26" s="402">
        <v>6.1999999999999998E-3</v>
      </c>
      <c r="F26" s="1683"/>
      <c r="G26"/>
      <c r="H26"/>
    </row>
    <row r="27" spans="1:8">
      <c r="A27" s="1681">
        <f t="shared" si="0"/>
        <v>15</v>
      </c>
      <c r="C27" s="1682">
        <f>+'SWEPCO WS N Sch 11 TU'!B35</f>
        <v>45717</v>
      </c>
      <c r="E27" s="402">
        <v>6.7999999999999996E-3</v>
      </c>
      <c r="F27" s="1683"/>
      <c r="G27"/>
      <c r="H27"/>
    </row>
    <row r="28" spans="1:8">
      <c r="A28" s="1681">
        <f t="shared" si="0"/>
        <v>16</v>
      </c>
      <c r="C28" s="1682">
        <f>+'SWEPCO WS N Sch 11 TU'!B36</f>
        <v>45748</v>
      </c>
      <c r="E28" s="402">
        <v>6.1999999999999998E-3</v>
      </c>
      <c r="F28" s="1683"/>
      <c r="G28"/>
      <c r="H28"/>
    </row>
    <row r="29" spans="1:8">
      <c r="A29" s="1681">
        <f t="shared" si="0"/>
        <v>17</v>
      </c>
      <c r="C29" s="1682">
        <f>+'SWEPCO WS N Sch 11 TU'!B37</f>
        <v>45778</v>
      </c>
      <c r="E29" s="402">
        <v>6.4000000000000003E-3</v>
      </c>
      <c r="F29" s="1683"/>
      <c r="G29"/>
      <c r="H29"/>
    </row>
    <row r="30" spans="1:8">
      <c r="A30" s="1681">
        <f t="shared" si="0"/>
        <v>18</v>
      </c>
      <c r="C30" s="1682">
        <f>+'SWEPCO WS N Sch 11 TU'!B38</f>
        <v>45809</v>
      </c>
      <c r="E30" s="402">
        <v>6.1999999999999998E-3</v>
      </c>
      <c r="F30" s="1683"/>
      <c r="G30"/>
      <c r="H30"/>
    </row>
    <row r="31" spans="1:8">
      <c r="A31" s="1681">
        <f t="shared" si="0"/>
        <v>19</v>
      </c>
      <c r="C31" s="1682">
        <f>+'SWEPCO WS N Sch 11 TU'!B39</f>
        <v>45839</v>
      </c>
      <c r="E31" s="402">
        <v>6.1999999999999998E-3</v>
      </c>
      <c r="F31" s="1683"/>
      <c r="G31"/>
      <c r="H31"/>
    </row>
    <row r="32" spans="1:8">
      <c r="A32" s="1681">
        <f t="shared" si="0"/>
        <v>20</v>
      </c>
      <c r="C32" s="1682">
        <f>+'SWEPCO WS N Sch 11 TU'!B40</f>
        <v>45870</v>
      </c>
      <c r="E32" s="402">
        <v>6.1999999999999998E-3</v>
      </c>
      <c r="F32" s="1683"/>
      <c r="G32"/>
      <c r="H32"/>
    </row>
    <row r="33" spans="1:8">
      <c r="A33" s="1681">
        <f t="shared" si="0"/>
        <v>21</v>
      </c>
      <c r="C33" s="1682">
        <f>+'SWEPCO WS N Sch 11 TU'!B41</f>
        <v>45901</v>
      </c>
      <c r="E33" s="402">
        <v>6.1999999999999998E-3</v>
      </c>
      <c r="F33" s="1683"/>
      <c r="G33"/>
      <c r="H33"/>
    </row>
    <row r="34" spans="1:8">
      <c r="A34" s="1681">
        <f t="shared" si="0"/>
        <v>22</v>
      </c>
      <c r="C34" s="1682">
        <f>+'SWEPCO WS N Sch 11 TU'!B42</f>
        <v>45931</v>
      </c>
      <c r="E34" s="402">
        <v>6.1999999999999998E-3</v>
      </c>
      <c r="F34" s="1683"/>
      <c r="G34"/>
      <c r="H34"/>
    </row>
    <row r="35" spans="1:8">
      <c r="A35" s="1681">
        <f t="shared" si="0"/>
        <v>23</v>
      </c>
      <c r="C35" s="1682">
        <f>+'SWEPCO WS N Sch 11 TU'!B43</f>
        <v>45962</v>
      </c>
      <c r="E35" s="402">
        <v>6.1999999999999998E-3</v>
      </c>
      <c r="F35" s="1683"/>
      <c r="G35"/>
      <c r="H35"/>
    </row>
    <row r="36" spans="1:8">
      <c r="A36" s="1681">
        <f t="shared" si="0"/>
        <v>24</v>
      </c>
      <c r="C36" s="1682">
        <f>+'SWEPCO WS N Sch 11 TU'!B44</f>
        <v>45992</v>
      </c>
      <c r="E36" s="402">
        <v>6.1999999999999998E-3</v>
      </c>
      <c r="F36" s="1683"/>
      <c r="G36"/>
      <c r="H36"/>
    </row>
    <row r="37" spans="1:8">
      <c r="A37" s="1681"/>
      <c r="C37" s="1680"/>
      <c r="D37" s="1683"/>
      <c r="E37" s="1683"/>
      <c r="F37" s="1683"/>
      <c r="G37"/>
      <c r="H37"/>
    </row>
    <row r="38" spans="1:8">
      <c r="A38" s="1681"/>
      <c r="B38" s="1685" t="s">
        <v>721</v>
      </c>
      <c r="C38" s="1680"/>
      <c r="D38" s="1683"/>
      <c r="E38" s="1683"/>
    </row>
    <row r="39" spans="1:8">
      <c r="A39" s="1681">
        <f>A36+1</f>
        <v>25</v>
      </c>
      <c r="B39" s="1686" t="str">
        <f>"Average Monthly Rate - Lines "&amp;A25&amp;"- "&amp;A36</f>
        <v>Average Monthly Rate - Lines 13- 24</v>
      </c>
      <c r="D39" s="1683"/>
      <c r="E39" s="1684">
        <f>+AVERAGE(E25:E36)</f>
        <v>6.3166666666666649E-3</v>
      </c>
    </row>
    <row r="40" spans="1:8">
      <c r="E40" s="1687"/>
    </row>
    <row r="41" spans="1:8" ht="30.75" customHeight="1">
      <c r="A41" s="2431" t="s">
        <v>1636</v>
      </c>
      <c r="B41" s="2431"/>
      <c r="C41" s="2431"/>
      <c r="D41" s="2431"/>
      <c r="E41" s="2431"/>
      <c r="F41" s="2431"/>
      <c r="G41" s="2431"/>
    </row>
    <row r="43" spans="1:8" ht="15.5">
      <c r="A43" s="1272"/>
    </row>
    <row r="46" spans="1:8" ht="15.75" customHeight="1">
      <c r="C46" s="1272"/>
      <c r="D46" s="1272"/>
      <c r="E46" s="1272"/>
      <c r="F46" s="1272"/>
      <c r="G46" s="1272"/>
    </row>
    <row r="47" spans="1:8" ht="12.75" customHeight="1">
      <c r="C47" s="1272"/>
      <c r="D47" s="1272"/>
      <c r="E47" s="1272"/>
      <c r="F47" s="1272"/>
      <c r="G47" s="1272"/>
    </row>
    <row r="49" spans="2:7" ht="12.75" customHeight="1">
      <c r="C49" s="1272"/>
      <c r="D49" s="1272"/>
      <c r="E49" s="1272"/>
      <c r="F49" s="1272"/>
      <c r="G49" s="1272"/>
    </row>
    <row r="50" spans="2:7" ht="12.75" customHeight="1">
      <c r="B50" s="1272"/>
      <c r="C50" s="1272"/>
      <c r="D50" s="1272"/>
      <c r="E50" s="1272"/>
      <c r="F50" s="1272"/>
      <c r="G50" s="1272"/>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6" fitToHeight="0" orientation="portrait" r:id="rId1"/>
  <headerFooter>
    <oddHeader>&amp;RAEP - SPP Formula Rate
TCOS - WS Q
Page: &amp;P of &amp;N</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249977111117893"/>
    <pageSetUpPr fitToPage="1"/>
  </sheetPr>
  <dimension ref="A2:U502"/>
  <sheetViews>
    <sheetView zoomScale="70" zoomScaleNormal="70" zoomScaleSheetLayoutView="75" zoomScalePageLayoutView="70" workbookViewId="0">
      <selection activeCell="L30" sqref="L30"/>
    </sheetView>
  </sheetViews>
  <sheetFormatPr defaultColWidth="11.453125" defaultRowHeight="15.5"/>
  <cols>
    <col min="1" max="1" width="4.54296875" style="497" customWidth="1"/>
    <col min="2" max="2" width="7.81640625" style="565" customWidth="1"/>
    <col min="3" max="3" width="1.81640625" style="497" customWidth="1"/>
    <col min="4" max="4" width="63.453125" style="497" customWidth="1"/>
    <col min="5" max="5" width="37.453125" style="497" customWidth="1"/>
    <col min="6" max="6" width="26.1796875" style="497" customWidth="1"/>
    <col min="7" max="7" width="20.54296875" style="497" customWidth="1"/>
    <col min="8" max="8" width="18.81640625" style="497" customWidth="1"/>
    <col min="9" max="9" width="9.81640625" style="497" customWidth="1"/>
    <col min="10" max="10" width="21.81640625" style="497" bestFit="1" customWidth="1"/>
    <col min="11" max="11" width="4.54296875" style="497" customWidth="1"/>
    <col min="12" max="12" width="27.1796875" style="497" customWidth="1"/>
    <col min="13" max="13" width="19.453125" style="497" customWidth="1"/>
    <col min="14" max="14" width="15.7265625" style="497" customWidth="1"/>
    <col min="15" max="15" width="3.1796875" style="497" customWidth="1"/>
    <col min="16" max="16" width="21.81640625" style="497" customWidth="1"/>
    <col min="17" max="17" width="11.453125" style="497" customWidth="1"/>
    <col min="18" max="18" width="20.54296875" style="497" bestFit="1" customWidth="1"/>
    <col min="19" max="16384" width="11.453125" style="497"/>
  </cols>
  <sheetData>
    <row r="2" spans="2:16">
      <c r="D2" s="286"/>
      <c r="E2" s="566"/>
      <c r="F2" s="566"/>
      <c r="G2" s="567"/>
      <c r="I2" s="505"/>
      <c r="J2" s="505"/>
      <c r="K2" s="505"/>
      <c r="N2" s="2093">
        <v>2024</v>
      </c>
      <c r="P2" s="497" t="s">
        <v>418</v>
      </c>
    </row>
    <row r="3" spans="2:16">
      <c r="N3" s="568"/>
    </row>
    <row r="4" spans="2:16">
      <c r="D4" s="495"/>
      <c r="E4" s="495"/>
      <c r="F4" s="47" t="s">
        <v>644</v>
      </c>
      <c r="G4" s="18"/>
      <c r="H4" s="18"/>
      <c r="J4" s="495"/>
      <c r="K4" s="495"/>
      <c r="L4" s="495"/>
      <c r="M4" s="569"/>
    </row>
    <row r="5" spans="2:16">
      <c r="D5" s="495"/>
      <c r="E5" s="570"/>
      <c r="F5" s="47" t="s">
        <v>50</v>
      </c>
      <c r="G5" s="18"/>
      <c r="H5" s="18"/>
      <c r="J5" s="570"/>
      <c r="K5" s="495"/>
      <c r="L5" s="495"/>
      <c r="M5" s="569"/>
    </row>
    <row r="6" spans="2:16">
      <c r="D6" s="495"/>
      <c r="E6" s="495"/>
      <c r="F6" s="115" t="str">
        <f>"Utilizing Actual / Projected Cost Data for the "&amp;N2&amp;" Rate Year"</f>
        <v>Utilizing Actual / Projected Cost Data for the 2024 Rate Year</v>
      </c>
      <c r="G6" s="18"/>
      <c r="H6" s="18"/>
      <c r="J6" s="495"/>
      <c r="K6" s="495"/>
      <c r="L6" s="495"/>
      <c r="M6" s="569"/>
    </row>
    <row r="7" spans="2:16">
      <c r="B7" s="571"/>
      <c r="C7" s="572"/>
      <c r="D7" s="495"/>
      <c r="H7" s="573"/>
      <c r="I7" s="573"/>
      <c r="J7" s="573"/>
      <c r="K7" s="573"/>
      <c r="L7" s="495"/>
      <c r="M7" s="495"/>
    </row>
    <row r="8" spans="2:16">
      <c r="B8" s="571"/>
      <c r="C8" s="572"/>
      <c r="D8" s="286"/>
      <c r="E8" s="495"/>
      <c r="F8" s="574" t="s">
        <v>680</v>
      </c>
      <c r="G8" s="575"/>
      <c r="H8" s="495"/>
      <c r="I8" s="495"/>
      <c r="J8" s="495"/>
      <c r="K8" s="495"/>
      <c r="L8" s="286"/>
      <c r="M8" s="286"/>
      <c r="N8" s="286"/>
    </row>
    <row r="9" spans="2:16">
      <c r="B9" s="571"/>
      <c r="C9" s="572"/>
      <c r="D9" s="495"/>
      <c r="E9" s="495"/>
      <c r="F9" s="576"/>
      <c r="G9" s="575"/>
      <c r="H9" s="495"/>
      <c r="I9" s="495"/>
      <c r="J9" s="495"/>
      <c r="K9" s="495"/>
      <c r="L9" s="286"/>
      <c r="M9" s="286"/>
      <c r="N9" s="286"/>
    </row>
    <row r="10" spans="2:16">
      <c r="B10" s="571" t="s">
        <v>308</v>
      </c>
      <c r="C10" s="572"/>
      <c r="D10" s="495"/>
      <c r="E10" s="495"/>
      <c r="F10" s="495"/>
      <c r="G10" s="575"/>
      <c r="H10" s="495"/>
      <c r="I10" s="495"/>
      <c r="J10" s="495"/>
      <c r="K10" s="495"/>
      <c r="L10" s="572" t="s">
        <v>255</v>
      </c>
      <c r="M10" s="286"/>
      <c r="N10" s="286"/>
    </row>
    <row r="11" spans="2:16" ht="16" thickBot="1">
      <c r="B11" s="577" t="s">
        <v>257</v>
      </c>
      <c r="C11" s="572"/>
      <c r="D11" s="495"/>
      <c r="E11" s="572"/>
      <c r="F11" s="495"/>
      <c r="G11" s="495"/>
      <c r="H11" s="495"/>
      <c r="I11" s="495"/>
      <c r="J11" s="495"/>
      <c r="K11" s="495"/>
      <c r="L11" s="578" t="s">
        <v>309</v>
      </c>
      <c r="M11" s="286"/>
      <c r="N11" s="286"/>
    </row>
    <row r="12" spans="2:16">
      <c r="B12" s="571">
        <v>1</v>
      </c>
      <c r="C12" s="572"/>
      <c r="D12" s="18" t="s">
        <v>251</v>
      </c>
      <c r="E12" s="495" t="str">
        <f>"(ln "&amp;B193&amp;")"</f>
        <v>(ln 117)</v>
      </c>
      <c r="F12" s="495"/>
      <c r="G12" s="570"/>
      <c r="H12" s="579"/>
      <c r="I12" s="495"/>
      <c r="J12" s="495"/>
      <c r="K12" s="495"/>
      <c r="L12" s="496">
        <f>+L193</f>
        <v>134973025.19654</v>
      </c>
      <c r="M12" s="286"/>
      <c r="N12" s="286"/>
    </row>
    <row r="13" spans="2:16" ht="16" thickBot="1">
      <c r="B13" s="571"/>
      <c r="C13" s="572"/>
      <c r="E13" s="580"/>
      <c r="F13" s="570"/>
      <c r="G13" s="578" t="s">
        <v>258</v>
      </c>
      <c r="H13" s="570"/>
      <c r="I13" s="581" t="s">
        <v>259</v>
      </c>
      <c r="J13" s="581"/>
      <c r="K13" s="495"/>
      <c r="L13" s="570"/>
      <c r="M13" s="286"/>
      <c r="N13" s="286"/>
    </row>
    <row r="14" spans="2:16">
      <c r="B14" s="571">
        <f>+B12+1</f>
        <v>2</v>
      </c>
      <c r="C14" s="572"/>
      <c r="D14" s="18" t="s">
        <v>307</v>
      </c>
      <c r="E14" s="580" t="s">
        <v>624</v>
      </c>
      <c r="F14" s="570"/>
      <c r="G14" s="582">
        <f>+'PSO WS H Rev Credits'!M52</f>
        <v>20850146.319999993</v>
      </c>
      <c r="H14" s="570"/>
      <c r="I14" s="583" t="s">
        <v>269</v>
      </c>
      <c r="J14" s="584">
        <v>1</v>
      </c>
      <c r="K14" s="570"/>
      <c r="L14" s="585">
        <f>+J14*G14</f>
        <v>20850146.319999993</v>
      </c>
      <c r="M14" s="286"/>
      <c r="N14" s="286"/>
    </row>
    <row r="15" spans="2:16">
      <c r="B15" s="571"/>
      <c r="C15" s="572"/>
      <c r="D15" s="18"/>
      <c r="E15" s="580"/>
      <c r="F15" s="570"/>
      <c r="G15" s="582"/>
      <c r="H15" s="570"/>
      <c r="I15" s="583"/>
      <c r="J15" s="584"/>
      <c r="K15" s="570"/>
      <c r="L15" s="585"/>
      <c r="M15" s="286"/>
      <c r="N15" s="286"/>
    </row>
    <row r="16" spans="2:16">
      <c r="B16" s="571">
        <f>+B14+1</f>
        <v>3</v>
      </c>
      <c r="C16" s="572"/>
      <c r="D16" s="18" t="s">
        <v>531</v>
      </c>
      <c r="E16" s="580" t="s">
        <v>647</v>
      </c>
      <c r="F16" s="570"/>
      <c r="G16" s="586"/>
      <c r="H16" s="570"/>
      <c r="I16" s="583"/>
      <c r="J16" s="584"/>
      <c r="K16" s="495"/>
      <c r="L16" s="2102">
        <f>+'PSO WS B - Facility credits'!D9</f>
        <v>0</v>
      </c>
      <c r="M16" s="286"/>
      <c r="N16" s="286"/>
    </row>
    <row r="17" spans="2:14">
      <c r="B17" s="571"/>
      <c r="C17" s="572"/>
      <c r="E17" s="580"/>
      <c r="F17" s="570"/>
      <c r="G17" s="572"/>
      <c r="H17" s="570"/>
      <c r="I17" s="587"/>
      <c r="J17" s="587"/>
      <c r="K17" s="495"/>
      <c r="L17" s="570"/>
      <c r="M17" s="286"/>
      <c r="N17" s="286"/>
    </row>
    <row r="18" spans="2:14" ht="16" thickBot="1">
      <c r="B18" s="571">
        <f>+B16+1</f>
        <v>4</v>
      </c>
      <c r="C18" s="572"/>
      <c r="D18" s="588" t="s">
        <v>33</v>
      </c>
      <c r="E18" s="580" t="str">
        <f>"(ln "&amp;B12&amp;" less ln "&amp;B14&amp;" plus ln " &amp;B16&amp;")"</f>
        <v>(ln 1 less ln 2 plus ln 3)</v>
      </c>
      <c r="F18" s="495"/>
      <c r="H18" s="570"/>
      <c r="I18" s="583"/>
      <c r="J18" s="570"/>
      <c r="K18" s="570"/>
      <c r="L18" s="589">
        <f>+L12-L14+L16</f>
        <v>114122878.87654001</v>
      </c>
      <c r="M18" s="286"/>
      <c r="N18" s="286"/>
    </row>
    <row r="19" spans="2:14" ht="16" thickTop="1">
      <c r="B19" s="571"/>
      <c r="C19" s="572"/>
      <c r="D19" s="18"/>
      <c r="E19" s="580"/>
      <c r="F19" s="495"/>
      <c r="H19" s="570"/>
      <c r="I19" s="583"/>
      <c r="J19" s="570"/>
      <c r="K19" s="570"/>
      <c r="L19" s="585"/>
      <c r="M19" s="286"/>
      <c r="N19" s="286"/>
    </row>
    <row r="20" spans="2:14" ht="15" customHeight="1">
      <c r="B20" s="2266"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266"/>
      <c r="D20" s="2266"/>
      <c r="E20" s="2266"/>
      <c r="F20" s="2266"/>
      <c r="G20" s="2266"/>
      <c r="H20" s="2266"/>
      <c r="I20" s="2266"/>
      <c r="J20" s="286"/>
      <c r="M20" s="286"/>
      <c r="N20" s="286"/>
    </row>
    <row r="21" spans="2:14" ht="18.75" customHeight="1">
      <c r="B21" s="2266"/>
      <c r="C21" s="2266"/>
      <c r="D21" s="2266"/>
      <c r="E21" s="2266"/>
      <c r="F21" s="2266"/>
      <c r="G21" s="2266"/>
      <c r="H21" s="2266"/>
      <c r="I21" s="2266"/>
      <c r="J21" s="286"/>
      <c r="K21" s="286"/>
      <c r="L21" s="286"/>
      <c r="M21" s="286"/>
      <c r="N21" s="286"/>
    </row>
    <row r="22" spans="2:14" ht="15" customHeight="1">
      <c r="B22" s="590"/>
      <c r="C22" s="590"/>
      <c r="D22" s="590"/>
      <c r="E22" s="590"/>
      <c r="F22" s="590"/>
      <c r="G22" s="590"/>
      <c r="H22" s="590"/>
      <c r="I22" s="590"/>
      <c r="M22" s="286"/>
      <c r="N22" s="286"/>
    </row>
    <row r="23" spans="2:14">
      <c r="B23" s="571">
        <f>+B18+1</f>
        <v>5</v>
      </c>
      <c r="C23" s="572"/>
      <c r="D23" s="2274" t="s">
        <v>648</v>
      </c>
      <c r="E23" s="2274"/>
      <c r="F23" s="570"/>
      <c r="G23" s="582">
        <f>+'PSO WS G BPU ATRR'!N19</f>
        <v>10194766.21853902</v>
      </c>
      <c r="H23" s="570"/>
      <c r="I23" s="583" t="s">
        <v>269</v>
      </c>
      <c r="J23" s="584">
        <v>1</v>
      </c>
      <c r="K23" s="495"/>
      <c r="L23" s="585">
        <f>+J23*G23</f>
        <v>10194766.21853902</v>
      </c>
      <c r="M23" s="286"/>
      <c r="N23" s="286"/>
    </row>
    <row r="24" spans="2:14">
      <c r="B24" s="571"/>
      <c r="C24" s="572"/>
      <c r="D24" s="2274"/>
      <c r="E24" s="2274"/>
      <c r="F24" s="570"/>
      <c r="G24" s="582"/>
      <c r="H24" s="570"/>
      <c r="I24" s="570"/>
      <c r="J24" s="584"/>
      <c r="K24" s="495"/>
      <c r="L24" s="585"/>
      <c r="M24" s="286"/>
      <c r="N24" s="286"/>
    </row>
    <row r="25" spans="2:14">
      <c r="B25" s="571">
        <f>+B23+1</f>
        <v>6</v>
      </c>
      <c r="C25" s="572"/>
      <c r="D25" s="18" t="s">
        <v>34</v>
      </c>
      <c r="E25" s="580"/>
      <c r="F25" s="495"/>
      <c r="G25" s="591"/>
      <c r="H25" s="495"/>
      <c r="J25" s="495"/>
      <c r="K25" s="495"/>
      <c r="M25" s="286"/>
      <c r="N25" s="286"/>
    </row>
    <row r="26" spans="2:14">
      <c r="B26" s="571">
        <f>B25+1</f>
        <v>7</v>
      </c>
      <c r="C26" s="572"/>
      <c r="D26" s="495" t="s">
        <v>368</v>
      </c>
      <c r="E26" s="495" t="str">
        <f>"(ln "&amp;B12&amp;"/ ln "&amp;B79&amp;" x 100%)"</f>
        <v>(ln 1/ ln 37 x 100%)</v>
      </c>
      <c r="F26" s="572"/>
      <c r="G26" s="572"/>
      <c r="H26" s="572"/>
      <c r="I26" s="592"/>
      <c r="J26" s="592"/>
      <c r="K26" s="592"/>
      <c r="L26" s="593">
        <f>IF(L79=0,0,(L12)/L79)</f>
        <v>0.16867432623118539</v>
      </c>
      <c r="M26" s="286"/>
      <c r="N26" s="286"/>
    </row>
    <row r="27" spans="2:14">
      <c r="B27" s="571">
        <f>B26+1</f>
        <v>8</v>
      </c>
      <c r="C27" s="572"/>
      <c r="D27" s="495" t="s">
        <v>369</v>
      </c>
      <c r="E27" s="495" t="str">
        <f>"(ln "&amp;B26&amp;" / 12)"</f>
        <v>(ln 7 / 12)</v>
      </c>
      <c r="F27" s="572"/>
      <c r="G27" s="572"/>
      <c r="H27" s="572"/>
      <c r="I27" s="592"/>
      <c r="J27" s="592"/>
      <c r="K27" s="592"/>
      <c r="L27" s="593">
        <f>L26/12</f>
        <v>1.4056193852598783E-2</v>
      </c>
      <c r="M27" s="286"/>
      <c r="N27" s="286"/>
    </row>
    <row r="28" spans="2:14">
      <c r="B28" s="571"/>
      <c r="C28" s="572"/>
      <c r="D28" s="495"/>
      <c r="E28" s="495"/>
      <c r="F28" s="572"/>
      <c r="G28" s="572"/>
      <c r="H28" s="572"/>
      <c r="I28" s="592"/>
      <c r="J28" s="592"/>
      <c r="K28" s="592"/>
      <c r="L28" s="593"/>
      <c r="M28" s="286"/>
      <c r="N28" s="286"/>
    </row>
    <row r="29" spans="2:14">
      <c r="B29" s="571">
        <f>B27+1</f>
        <v>9</v>
      </c>
      <c r="C29" s="572"/>
      <c r="D29" s="18" t="str">
        <f>"NET PLANT CARRYING CHARGE ON LINE "&amp;B26&amp;" , W/O DEPRECIATION (w/o incentives) (Note B)"</f>
        <v>NET PLANT CARRYING CHARGE ON LINE 7 , W/O DEPRECIATION (w/o incentives) (Note B)</v>
      </c>
      <c r="E29" s="495"/>
      <c r="F29" s="572"/>
      <c r="G29" s="572"/>
      <c r="H29" s="572"/>
      <c r="I29" s="592"/>
      <c r="J29" s="592"/>
      <c r="K29" s="592"/>
      <c r="L29" s="593"/>
      <c r="M29" s="286"/>
      <c r="N29" s="286"/>
    </row>
    <row r="30" spans="2:14">
      <c r="B30" s="571">
        <f>B29+1</f>
        <v>10</v>
      </c>
      <c r="C30" s="572"/>
      <c r="D30" s="495" t="s">
        <v>368</v>
      </c>
      <c r="E30" s="495" t="str">
        <f>"( (ln "&amp;B12&amp;" - ln "&amp;B153&amp;") / ln "&amp;B79&amp;" x 100%)"</f>
        <v>( (ln 1 - ln 86) / ln 37 x 100%)</v>
      </c>
      <c r="F30" s="572"/>
      <c r="G30" s="572"/>
      <c r="H30" s="572"/>
      <c r="I30" s="592"/>
      <c r="J30" s="592"/>
      <c r="K30" s="592"/>
      <c r="L30" s="593">
        <f>IF(L79=0,0,(L12-L153)/L79)</f>
        <v>0.13431870975736884</v>
      </c>
      <c r="M30" s="286"/>
      <c r="N30" s="286"/>
    </row>
    <row r="31" spans="2:14">
      <c r="B31" s="571"/>
      <c r="C31" s="572"/>
      <c r="D31" s="495"/>
      <c r="E31" s="495"/>
      <c r="F31" s="572"/>
      <c r="G31" s="572"/>
      <c r="H31" s="572"/>
      <c r="I31" s="592"/>
      <c r="J31" s="592"/>
      <c r="K31" s="592"/>
      <c r="L31" s="593"/>
      <c r="M31" s="286"/>
      <c r="N31" s="286"/>
    </row>
    <row r="32" spans="2:14">
      <c r="B32" s="571">
        <f>B30+1</f>
        <v>11</v>
      </c>
      <c r="C32" s="572"/>
      <c r="D32" s="18" t="str">
        <f>"NET PLANT CARRYING CHARGE ON LINE "&amp;B29&amp;", W/O  INCOME TAXES, RETURN  (Note B)"</f>
        <v>NET PLANT CARRYING CHARGE ON LINE 9, W/O  INCOME TAXES, RETURN  (Note B)</v>
      </c>
      <c r="E32" s="495"/>
      <c r="F32" s="572"/>
      <c r="G32" s="572"/>
      <c r="H32" s="572"/>
      <c r="I32" s="592"/>
      <c r="J32" s="592"/>
      <c r="K32" s="592"/>
      <c r="L32" s="593"/>
      <c r="M32" s="286"/>
      <c r="N32" s="286"/>
    </row>
    <row r="33" spans="2:16">
      <c r="B33" s="571">
        <f>B32+1</f>
        <v>12</v>
      </c>
      <c r="C33" s="572"/>
      <c r="D33" s="495" t="s">
        <v>368</v>
      </c>
      <c r="E33" s="495" t="str">
        <f>"( (ln "&amp;B12&amp;" - ln "&amp;B153&amp;" - ln "&amp;B182&amp;" - ln "&amp;B184&amp;") / ln "&amp;B79&amp;" x 100%)"</f>
        <v>( (ln 1 - ln 86 - ln 111 - ln 112) / ln 37 x 100%)</v>
      </c>
      <c r="F33" s="572"/>
      <c r="G33" s="572"/>
      <c r="H33" s="572"/>
      <c r="I33" s="592"/>
      <c r="J33" s="592"/>
      <c r="K33" s="592"/>
      <c r="L33" s="594">
        <f>IF(L79=0,0,(L12-L153-L182-L184)/L79)</f>
        <v>5.6393898726349583E-2</v>
      </c>
      <c r="M33" s="286"/>
      <c r="N33" s="286"/>
    </row>
    <row r="34" spans="2:16">
      <c r="B34" s="571"/>
      <c r="C34" s="572"/>
      <c r="D34" s="495"/>
      <c r="E34" s="495"/>
      <c r="F34" s="572"/>
      <c r="G34" s="572"/>
      <c r="H34" s="572"/>
      <c r="I34" s="592"/>
      <c r="J34" s="592"/>
      <c r="K34" s="592"/>
      <c r="L34" s="593"/>
      <c r="M34" s="286"/>
      <c r="N34" s="286"/>
    </row>
    <row r="35" spans="2:16">
      <c r="B35" s="571">
        <f>B33+1</f>
        <v>13</v>
      </c>
      <c r="C35" s="572"/>
      <c r="D35" s="18" t="s">
        <v>675</v>
      </c>
      <c r="E35" s="495"/>
      <c r="F35" s="572"/>
      <c r="G35" s="572"/>
      <c r="H35" s="572"/>
      <c r="I35" s="592"/>
      <c r="J35" s="592"/>
      <c r="K35" s="592"/>
      <c r="L35" s="2101">
        <f>+'PSO WS G BPU ATRR'!P19</f>
        <v>0</v>
      </c>
      <c r="M35" s="286"/>
      <c r="N35" s="286"/>
    </row>
    <row r="36" spans="2:16">
      <c r="B36" s="571"/>
      <c r="C36" s="572"/>
      <c r="E36" s="495"/>
      <c r="F36" s="572"/>
      <c r="G36" s="572"/>
      <c r="H36" s="572"/>
      <c r="I36" s="592"/>
      <c r="J36" s="592"/>
      <c r="K36" s="592"/>
      <c r="L36" s="593"/>
      <c r="M36" s="286"/>
      <c r="N36" s="286"/>
    </row>
    <row r="37" spans="2:16">
      <c r="B37" s="497"/>
      <c r="C37" s="572"/>
      <c r="E37" s="495"/>
      <c r="F37" s="572"/>
      <c r="G37" s="572"/>
      <c r="H37" s="572"/>
      <c r="I37" s="592"/>
      <c r="J37" s="592"/>
      <c r="K37" s="592"/>
      <c r="L37" s="593"/>
      <c r="M37" s="286"/>
      <c r="N37" s="286"/>
    </row>
    <row r="38" spans="2:16">
      <c r="B38" s="571"/>
      <c r="C38" s="572"/>
      <c r="E38" s="495"/>
      <c r="F38" s="572"/>
      <c r="G38" s="572"/>
      <c r="H38" s="572"/>
      <c r="I38" s="592"/>
      <c r="J38" s="592"/>
      <c r="K38" s="592"/>
      <c r="L38" s="593"/>
      <c r="M38" s="286"/>
      <c r="N38" s="286"/>
    </row>
    <row r="39" spans="2:16">
      <c r="B39" s="571"/>
      <c r="C39" s="572"/>
      <c r="E39" s="495"/>
      <c r="F39" s="572"/>
      <c r="G39" s="572"/>
      <c r="H39" s="572"/>
      <c r="I39" s="592"/>
      <c r="J39" s="592"/>
      <c r="K39" s="592"/>
      <c r="L39" s="593"/>
      <c r="M39" s="286"/>
      <c r="N39" s="286"/>
    </row>
    <row r="40" spans="2:16">
      <c r="D40" s="495"/>
      <c r="E40" s="495"/>
      <c r="G40" s="579"/>
      <c r="H40" s="495"/>
      <c r="I40" s="495"/>
      <c r="J40" s="495"/>
      <c r="K40" s="495"/>
      <c r="L40" s="495"/>
      <c r="M40" s="286"/>
      <c r="N40" s="286"/>
    </row>
    <row r="41" spans="2:16">
      <c r="D41" s="495"/>
      <c r="E41" s="495"/>
      <c r="F41" s="572"/>
      <c r="G41" s="579"/>
      <c r="H41" s="495"/>
      <c r="I41" s="495"/>
      <c r="J41" s="495"/>
      <c r="K41" s="495"/>
      <c r="L41" s="495"/>
      <c r="M41" s="286"/>
      <c r="N41" s="286"/>
      <c r="P41" s="596"/>
    </row>
    <row r="42" spans="2:16">
      <c r="D42" s="495"/>
      <c r="E42" s="495"/>
      <c r="F42" s="572" t="str">
        <f>F4</f>
        <v xml:space="preserve">AEP West SPP Member Operating Companies </v>
      </c>
      <c r="G42" s="579"/>
      <c r="H42" s="495"/>
      <c r="I42" s="495"/>
      <c r="J42" s="495"/>
      <c r="K42" s="495"/>
      <c r="L42" s="495"/>
      <c r="M42" s="286"/>
      <c r="N42" s="286"/>
      <c r="P42" s="596"/>
    </row>
    <row r="43" spans="2:16">
      <c r="D43" s="495"/>
      <c r="E43" s="570"/>
      <c r="F43" s="572" t="str">
        <f>F5</f>
        <v>Transmission Cost of Service Formula Rate</v>
      </c>
      <c r="G43" s="570"/>
      <c r="H43" s="570"/>
      <c r="I43" s="570"/>
      <c r="J43" s="570"/>
      <c r="K43" s="570"/>
      <c r="L43" s="570"/>
      <c r="M43" s="286"/>
      <c r="N43" s="286"/>
      <c r="P43" s="597"/>
    </row>
    <row r="44" spans="2:16">
      <c r="D44" s="495"/>
      <c r="E44" s="570"/>
      <c r="F44" s="583" t="str">
        <f>F6</f>
        <v>Utilizing Actual / Projected Cost Data for the 2024 Rate Year</v>
      </c>
      <c r="G44" s="570"/>
      <c r="H44" s="570"/>
      <c r="I44" s="570"/>
      <c r="J44" s="570"/>
      <c r="K44" s="570"/>
      <c r="L44" s="570"/>
      <c r="M44" s="286"/>
      <c r="N44" s="286"/>
      <c r="P44" s="597"/>
    </row>
    <row r="45" spans="2:16">
      <c r="D45" s="495"/>
      <c r="E45" s="570"/>
      <c r="F45" s="572"/>
      <c r="G45" s="570"/>
      <c r="H45" s="570"/>
      <c r="I45" s="570"/>
      <c r="J45" s="570"/>
      <c r="K45" s="570"/>
      <c r="L45" s="570"/>
      <c r="M45" s="286"/>
      <c r="N45" s="286"/>
      <c r="P45" s="597"/>
    </row>
    <row r="46" spans="2:16">
      <c r="D46" s="495"/>
      <c r="E46" s="570"/>
      <c r="F46" s="572" t="str">
        <f>F8</f>
        <v>PUBLIC SERVICE COMPANY OF OKLAHOMA</v>
      </c>
      <c r="G46" s="570"/>
      <c r="H46" s="570"/>
      <c r="I46" s="570"/>
      <c r="J46" s="570"/>
      <c r="K46" s="570"/>
      <c r="L46" s="570"/>
      <c r="M46" s="286"/>
      <c r="N46" s="286"/>
      <c r="P46" s="597"/>
    </row>
    <row r="47" spans="2:16">
      <c r="D47" s="495"/>
      <c r="E47" s="583"/>
      <c r="F47" s="583"/>
      <c r="G47" s="583"/>
      <c r="H47" s="583"/>
      <c r="I47" s="583"/>
      <c r="J47" s="583"/>
      <c r="K47" s="583"/>
      <c r="L47" s="570"/>
      <c r="M47" s="286"/>
      <c r="N47" s="286"/>
      <c r="P47" s="597"/>
    </row>
    <row r="48" spans="2:16">
      <c r="D48" s="572" t="s">
        <v>261</v>
      </c>
      <c r="E48" s="572" t="s">
        <v>262</v>
      </c>
      <c r="F48" s="572"/>
      <c r="G48" s="572" t="s">
        <v>263</v>
      </c>
      <c r="H48" s="570" t="s">
        <v>254</v>
      </c>
      <c r="I48" s="2269" t="s">
        <v>264</v>
      </c>
      <c r="J48" s="2270"/>
      <c r="K48" s="570"/>
      <c r="L48" s="573" t="s">
        <v>265</v>
      </c>
      <c r="M48" s="286"/>
      <c r="N48" s="286"/>
    </row>
    <row r="49" spans="2:16">
      <c r="B49" s="497"/>
      <c r="D49" s="286"/>
      <c r="E49" s="286"/>
      <c r="F49" s="286"/>
      <c r="G49" s="598"/>
      <c r="H49" s="570"/>
      <c r="I49" s="570"/>
      <c r="J49" s="599"/>
      <c r="K49" s="570"/>
      <c r="M49" s="286"/>
      <c r="N49" s="286"/>
    </row>
    <row r="50" spans="2:16">
      <c r="B50" s="600"/>
      <c r="C50" s="572"/>
      <c r="D50" s="286"/>
      <c r="E50" s="601" t="s">
        <v>240</v>
      </c>
      <c r="F50" s="602"/>
      <c r="G50" s="570"/>
      <c r="H50" s="570"/>
      <c r="I50" s="570"/>
      <c r="J50" s="572"/>
      <c r="K50" s="570"/>
      <c r="L50" s="603" t="s">
        <v>258</v>
      </c>
      <c r="M50" s="286"/>
      <c r="N50" s="286"/>
      <c r="P50" s="596"/>
    </row>
    <row r="51" spans="2:16">
      <c r="B51" s="497"/>
      <c r="C51" s="572"/>
      <c r="D51" s="604" t="s">
        <v>239</v>
      </c>
      <c r="E51" s="605" t="s">
        <v>252</v>
      </c>
      <c r="F51" s="570"/>
      <c r="G51" s="604" t="s">
        <v>226</v>
      </c>
      <c r="H51" s="606"/>
      <c r="I51" s="2267" t="s">
        <v>259</v>
      </c>
      <c r="J51" s="2268"/>
      <c r="K51" s="606"/>
      <c r="L51" s="604" t="s">
        <v>255</v>
      </c>
      <c r="M51" s="286"/>
      <c r="N51" s="286"/>
    </row>
    <row r="52" spans="2:16">
      <c r="B52" s="571" t="str">
        <f>B10</f>
        <v>Line</v>
      </c>
      <c r="C52" s="572"/>
      <c r="D52" s="495"/>
      <c r="E52" s="570"/>
      <c r="F52" s="570"/>
      <c r="G52" s="607" t="s">
        <v>142</v>
      </c>
      <c r="H52" s="570"/>
      <c r="I52" s="570"/>
      <c r="J52" s="570"/>
      <c r="K52" s="570"/>
      <c r="L52" s="570"/>
      <c r="M52" s="286"/>
      <c r="N52" s="286"/>
    </row>
    <row r="53" spans="2:16" ht="16" thickBot="1">
      <c r="B53" s="577" t="str">
        <f>B11</f>
        <v>No.</v>
      </c>
      <c r="C53" s="572"/>
      <c r="D53" s="495" t="s">
        <v>227</v>
      </c>
      <c r="E53" s="583"/>
      <c r="F53" s="583"/>
      <c r="G53" s="570"/>
      <c r="H53" s="570"/>
      <c r="I53" s="583"/>
      <c r="J53" s="570"/>
      <c r="K53" s="570"/>
      <c r="L53" s="570"/>
      <c r="M53" s="286"/>
      <c r="N53" s="286"/>
    </row>
    <row r="54" spans="2:16">
      <c r="B54" s="571">
        <f>+B35+1</f>
        <v>14</v>
      </c>
      <c r="C54" s="572"/>
      <c r="D54" s="495" t="s">
        <v>266</v>
      </c>
      <c r="E54" s="570" t="str">
        <f>"(Worksheet A-1 ln "&amp;'PSO WS A-1 - Plant'!A24&amp;".B)"</f>
        <v>(Worksheet A-1 ln 14.B)</v>
      </c>
      <c r="F54" s="608"/>
      <c r="G54" s="582">
        <f>+'PSO WS A-1 - Plant'!C24</f>
        <v>2733697432.5561543</v>
      </c>
      <c r="H54" s="582"/>
      <c r="I54" s="583" t="s">
        <v>267</v>
      </c>
      <c r="J54" s="584">
        <v>0</v>
      </c>
      <c r="K54" s="570"/>
      <c r="L54" s="2102">
        <f>+J54*G54</f>
        <v>0</v>
      </c>
      <c r="M54" s="286"/>
      <c r="N54" s="286"/>
    </row>
    <row r="55" spans="2:16">
      <c r="B55" s="571">
        <f t="shared" ref="B55:B63" si="0">+B54+1</f>
        <v>15</v>
      </c>
      <c r="C55" s="572"/>
      <c r="D55" s="495" t="s">
        <v>19</v>
      </c>
      <c r="E55" s="570" t="str">
        <f>"(Worksheet A-1 ln "&amp;'PSO WS A-1 - Plant'!A24&amp;".C)"</f>
        <v>(Worksheet A-1 ln 14.C)</v>
      </c>
      <c r="F55" s="608"/>
      <c r="G55" s="582">
        <f>-'PSO WS A-1 - Plant'!D24</f>
        <v>-69019976.790769234</v>
      </c>
      <c r="H55" s="582"/>
      <c r="I55" s="583" t="s">
        <v>267</v>
      </c>
      <c r="J55" s="584">
        <v>0</v>
      </c>
      <c r="K55" s="570"/>
      <c r="L55" s="2102">
        <f>+J55*G55</f>
        <v>0</v>
      </c>
      <c r="M55" s="286"/>
      <c r="N55" s="286"/>
    </row>
    <row r="56" spans="2:16">
      <c r="B56" s="571">
        <f t="shared" si="0"/>
        <v>16</v>
      </c>
      <c r="C56" s="609"/>
      <c r="D56" s="610" t="s">
        <v>268</v>
      </c>
      <c r="E56" s="570" t="str">
        <f>"(Worksheet A-1 ln "&amp;'PSO WS A-1 - Plant'!A24&amp;".D &amp; Ln "&amp;B209</f>
        <v>(Worksheet A-1 ln 14.D &amp; Ln 121</v>
      </c>
      <c r="F56" s="611"/>
      <c r="G56" s="582">
        <f>+'PSO WS A-1 - Plant'!E24</f>
        <v>1264681127.2407694</v>
      </c>
      <c r="H56" s="582"/>
      <c r="I56" s="612" t="s">
        <v>269</v>
      </c>
      <c r="J56" s="570"/>
      <c r="K56" s="613"/>
      <c r="L56" s="2118">
        <f>+L209</f>
        <v>1012323144.3130771</v>
      </c>
      <c r="M56" s="286"/>
      <c r="N56" s="286"/>
    </row>
    <row r="57" spans="2:16">
      <c r="B57" s="571">
        <f t="shared" si="0"/>
        <v>17</v>
      </c>
      <c r="C57" s="609"/>
      <c r="D57" s="495" t="s">
        <v>20</v>
      </c>
      <c r="E57" s="570" t="str">
        <f>"(Worksheet A-1 ln "&amp;'PSO WS A-1 - Plant'!A24&amp;".E)"</f>
        <v>(Worksheet A-1 ln 14.E)</v>
      </c>
      <c r="F57" s="611"/>
      <c r="G57" s="2102">
        <f>-'PSO WS A-1 - Plant'!F24</f>
        <v>0</v>
      </c>
      <c r="H57" s="582"/>
      <c r="I57" s="612" t="s">
        <v>260</v>
      </c>
      <c r="J57" s="584">
        <f>+$L$211</f>
        <v>0.80045722396579377</v>
      </c>
      <c r="K57" s="613"/>
      <c r="L57" s="2118">
        <f>+G57*J57</f>
        <v>0</v>
      </c>
      <c r="M57" s="286"/>
      <c r="N57" s="286"/>
    </row>
    <row r="58" spans="2:16">
      <c r="B58" s="571">
        <f>+B57+1</f>
        <v>18</v>
      </c>
      <c r="C58" s="609"/>
      <c r="D58" s="495" t="s">
        <v>270</v>
      </c>
      <c r="E58" s="570" t="str">
        <f>"(Worksheet A-1 ln "&amp;'PSO WS A-1 - Plant'!A24&amp;".F)"</f>
        <v>(Worksheet A-1 ln 14.F)</v>
      </c>
      <c r="F58" s="608"/>
      <c r="G58" s="2102">
        <f>+'PSO WS A-1 - Plant'!G24</f>
        <v>3564152390.2892303</v>
      </c>
      <c r="H58" s="582"/>
      <c r="I58" s="583" t="s">
        <v>267</v>
      </c>
      <c r="J58" s="584">
        <v>0</v>
      </c>
      <c r="K58" s="570"/>
      <c r="L58" s="2102">
        <f>+J58*G58</f>
        <v>0</v>
      </c>
      <c r="M58" s="286"/>
      <c r="N58" s="286"/>
    </row>
    <row r="59" spans="2:16">
      <c r="B59" s="571">
        <f t="shared" si="0"/>
        <v>19</v>
      </c>
      <c r="C59" s="609"/>
      <c r="D59" s="495" t="s">
        <v>17</v>
      </c>
      <c r="E59" s="570" t="str">
        <f>"(Worksheet A-1 ln "&amp;'PSO WS A-1 - Plant'!A24&amp;".G)"</f>
        <v>(Worksheet A-1 ln 14.G)</v>
      </c>
      <c r="F59" s="608"/>
      <c r="G59" s="2102">
        <f>-'PSO WS A-1 - Plant'!H24</f>
        <v>0</v>
      </c>
      <c r="H59" s="582"/>
      <c r="I59" s="583" t="s">
        <v>267</v>
      </c>
      <c r="J59" s="584">
        <v>0</v>
      </c>
      <c r="K59" s="570"/>
      <c r="L59" s="2102">
        <f>+G59*J59</f>
        <v>0</v>
      </c>
      <c r="M59" s="286"/>
      <c r="N59" s="286"/>
    </row>
    <row r="60" spans="2:16">
      <c r="B60" s="571">
        <f t="shared" si="0"/>
        <v>20</v>
      </c>
      <c r="C60" s="609"/>
      <c r="D60" s="495" t="s">
        <v>271</v>
      </c>
      <c r="E60" s="570" t="str">
        <f>"(Worksheet A-1 ln "&amp;'PSO WS A-1 - Plant'!A44&amp;".B)"</f>
        <v>(Worksheet A-1 ln 28.B)</v>
      </c>
      <c r="F60" s="608"/>
      <c r="G60" s="582">
        <f>+'PSO WS A-1 - Plant'!C44</f>
        <v>282937871.25230771</v>
      </c>
      <c r="H60" s="582"/>
      <c r="I60" s="583" t="s">
        <v>272</v>
      </c>
      <c r="J60" s="584">
        <f>+$L$221</f>
        <v>7.6073912292131618E-2</v>
      </c>
      <c r="K60" s="570"/>
      <c r="L60" s="582">
        <f>+J60*G60</f>
        <v>21524190.801770486</v>
      </c>
      <c r="M60" s="286"/>
      <c r="N60" s="286"/>
    </row>
    <row r="61" spans="2:16">
      <c r="B61" s="571">
        <f t="shared" si="0"/>
        <v>21</v>
      </c>
      <c r="C61" s="609"/>
      <c r="D61" s="495" t="s">
        <v>18</v>
      </c>
      <c r="E61" s="570" t="str">
        <f>"(Worksheet A-1 ln "&amp;'PSO WS A-1 - Plant'!A44&amp;".C)"</f>
        <v>(Worksheet A-1 ln 28.C)</v>
      </c>
      <c r="F61" s="608"/>
      <c r="G61" s="582">
        <f>-'PSO WS A-1 - Plant'!D44</f>
        <v>-552073.72307692328</v>
      </c>
      <c r="H61" s="582"/>
      <c r="I61" s="583" t="s">
        <v>272</v>
      </c>
      <c r="J61" s="584">
        <f>+$L$221</f>
        <v>7.6073912292131618E-2</v>
      </c>
      <c r="K61" s="570"/>
      <c r="L61" s="582">
        <f>+G61*J61</f>
        <v>-41998.40798814442</v>
      </c>
      <c r="M61" s="286"/>
      <c r="N61" s="286"/>
    </row>
    <row r="62" spans="2:16" ht="16" thickBot="1">
      <c r="B62" s="571">
        <f t="shared" si="0"/>
        <v>22</v>
      </c>
      <c r="C62" s="609"/>
      <c r="D62" s="495" t="s">
        <v>273</v>
      </c>
      <c r="E62" s="570" t="str">
        <f>"(Worksheet A-1 ln "&amp;'PSO WS A-1 - Plant'!A44&amp;".D)"</f>
        <v>(Worksheet A-1 ln 28.D)</v>
      </c>
      <c r="F62" s="608"/>
      <c r="G62" s="615">
        <f>+'PSO WS A-1 - Plant'!E44</f>
        <v>215629349.99230769</v>
      </c>
      <c r="H62" s="582"/>
      <c r="I62" s="583" t="s">
        <v>272</v>
      </c>
      <c r="J62" s="584">
        <f>+$L$221</f>
        <v>7.6073912292131618E-2</v>
      </c>
      <c r="K62" s="570"/>
      <c r="L62" s="615">
        <f>+J62*G62</f>
        <v>16403768.258924168</v>
      </c>
      <c r="M62" s="286"/>
      <c r="N62" s="286"/>
      <c r="O62" s="495"/>
    </row>
    <row r="63" spans="2:16">
      <c r="B63" s="600">
        <f t="shared" si="0"/>
        <v>23</v>
      </c>
      <c r="C63" s="609"/>
      <c r="D63" s="495" t="s">
        <v>225</v>
      </c>
      <c r="E63" s="579" t="str">
        <f>"(sum lns "&amp;B54&amp;" to "&amp;B62&amp;")"</f>
        <v>(sum lns 14 to 22)</v>
      </c>
      <c r="F63" s="286"/>
      <c r="G63" s="582">
        <f>SUM(G54:G62)</f>
        <v>7991526120.8169241</v>
      </c>
      <c r="H63" s="582"/>
      <c r="I63" s="598" t="s">
        <v>632</v>
      </c>
      <c r="J63" s="2099">
        <f>IF(G63=0,0,L63/G63)</f>
        <v>0.13141533783267259</v>
      </c>
      <c r="K63" s="570"/>
      <c r="L63" s="582">
        <f>SUM(L54:L62)</f>
        <v>1050209104.9657835</v>
      </c>
      <c r="M63" s="286"/>
      <c r="N63" s="286"/>
      <c r="O63" s="495"/>
    </row>
    <row r="64" spans="2:16">
      <c r="B64" s="600"/>
      <c r="C64" s="572"/>
      <c r="D64" s="495"/>
      <c r="E64" s="354"/>
      <c r="F64" s="286"/>
      <c r="G64" s="617"/>
      <c r="H64" s="582"/>
      <c r="I64" s="618" t="s">
        <v>354</v>
      </c>
      <c r="J64" s="619">
        <f>+G56/(++G56+G58)</f>
        <v>0.2619019940632924</v>
      </c>
      <c r="K64" s="570"/>
      <c r="L64" s="582"/>
      <c r="M64" s="286"/>
      <c r="N64" s="286"/>
      <c r="O64" s="495"/>
    </row>
    <row r="65" spans="2:15">
      <c r="B65" s="571">
        <f>+B63+1</f>
        <v>24</v>
      </c>
      <c r="C65" s="572"/>
      <c r="D65" s="495" t="s">
        <v>207</v>
      </c>
      <c r="E65" s="583"/>
      <c r="F65" s="583"/>
      <c r="G65" s="617"/>
      <c r="H65" s="620"/>
      <c r="I65" s="583"/>
      <c r="J65" s="621"/>
      <c r="K65" s="570"/>
      <c r="L65" s="582"/>
      <c r="M65" s="286"/>
      <c r="N65" s="286"/>
      <c r="O65" s="570"/>
    </row>
    <row r="66" spans="2:15">
      <c r="B66" s="571">
        <f t="shared" ref="B66:B75" si="1">+B65+1</f>
        <v>25</v>
      </c>
      <c r="C66" s="572"/>
      <c r="D66" s="495" t="str">
        <f>+D54</f>
        <v xml:space="preserve">  Production</v>
      </c>
      <c r="E66" s="570" t="str">
        <f>"(Worksheet A-2 ln "&amp;'PSO WS A-1 - Plant'!A24&amp;".B)"</f>
        <v>(Worksheet A-2 ln 14.B)</v>
      </c>
      <c r="F66" s="608"/>
      <c r="G66" s="582">
        <f>+'PSO WS A-2 Accumulated Depn'!C24</f>
        <v>1044373394.5684613</v>
      </c>
      <c r="H66" s="582"/>
      <c r="I66" s="583" t="s">
        <v>267</v>
      </c>
      <c r="J66" s="584">
        <v>0</v>
      </c>
      <c r="K66" s="570"/>
      <c r="L66" s="2102">
        <f>+J66*G66</f>
        <v>0</v>
      </c>
      <c r="M66" s="286"/>
      <c r="N66" s="286"/>
      <c r="O66" s="570"/>
    </row>
    <row r="67" spans="2:15">
      <c r="B67" s="571">
        <f t="shared" si="1"/>
        <v>26</v>
      </c>
      <c r="C67" s="572"/>
      <c r="D67" s="495" t="s">
        <v>19</v>
      </c>
      <c r="E67" s="570" t="str">
        <f>"(Worksheet A-2 ln "&amp;'PSO WS A-1 - Plant'!A24&amp;".C)"</f>
        <v>(Worksheet A-2 ln 14.C)</v>
      </c>
      <c r="F67" s="608"/>
      <c r="G67" s="582">
        <f>-'PSO WS A-2 Accumulated Depn'!D24</f>
        <v>-14538196.237692308</v>
      </c>
      <c r="H67" s="582"/>
      <c r="I67" s="583" t="s">
        <v>267</v>
      </c>
      <c r="J67" s="584">
        <v>0</v>
      </c>
      <c r="K67" s="570"/>
      <c r="L67" s="2102">
        <f>+J67*G67</f>
        <v>0</v>
      </c>
      <c r="M67" s="286"/>
      <c r="N67" s="286"/>
      <c r="O67" s="570"/>
    </row>
    <row r="68" spans="2:15">
      <c r="B68" s="571">
        <f t="shared" si="1"/>
        <v>27</v>
      </c>
      <c r="C68" s="609"/>
      <c r="D68" s="610" t="str">
        <f>D56</f>
        <v xml:space="preserve">  Transmission</v>
      </c>
      <c r="E68" s="570" t="str">
        <f>"(Worksheet A-2 ln "&amp;'PSO WS A-2 Accumulated Depn'!A24&amp;".D less "&amp;'PSO WS A-2 Accumulated Depn'!A46&amp;".F)"</f>
        <v>(Worksheet A-2 ln 14.D less 29.F)</v>
      </c>
      <c r="F68" s="622"/>
      <c r="G68" s="582">
        <f>+'PSO WS A-2 Accumulated Depn'!E24</f>
        <v>249171914.94153845</v>
      </c>
      <c r="H68" s="582"/>
      <c r="I68" s="623" t="s">
        <v>209</v>
      </c>
      <c r="J68" s="624">
        <f>IF(G68=0,0,L68/G68)</f>
        <v>0.8513164739993333</v>
      </c>
      <c r="K68" s="613"/>
      <c r="L68" s="2102">
        <f>+'PSO WS A-2 Accumulated Depn'!G46</f>
        <v>212124156.0476923</v>
      </c>
      <c r="M68" s="286"/>
      <c r="N68" s="286"/>
      <c r="O68" s="570"/>
    </row>
    <row r="69" spans="2:15">
      <c r="B69" s="571">
        <f t="shared" si="1"/>
        <v>28</v>
      </c>
      <c r="C69" s="609"/>
      <c r="D69" s="495" t="s">
        <v>20</v>
      </c>
      <c r="E69" s="570" t="str">
        <f>"(Worksheet A-2 ln "&amp;'PSO WS A-2 Accumulated Depn'!A24&amp;".E)"</f>
        <v>(Worksheet A-2 ln 14.E)</v>
      </c>
      <c r="F69" s="611"/>
      <c r="G69" s="2102">
        <f>-'PSO WS A-2 Accumulated Depn'!F24</f>
        <v>0</v>
      </c>
      <c r="H69" s="582"/>
      <c r="I69" s="623" t="s">
        <v>209</v>
      </c>
      <c r="J69" s="584">
        <f>+J68</f>
        <v>0.8513164739993333</v>
      </c>
      <c r="K69" s="613"/>
      <c r="L69" s="2102">
        <f>+J69*G69</f>
        <v>0</v>
      </c>
      <c r="M69" s="286"/>
      <c r="N69" s="286"/>
      <c r="O69" s="570"/>
    </row>
    <row r="70" spans="2:15">
      <c r="B70" s="571">
        <f>+B69+1</f>
        <v>29</v>
      </c>
      <c r="C70" s="609"/>
      <c r="D70" s="495" t="str">
        <f>+D58</f>
        <v xml:space="preserve">  Distribution</v>
      </c>
      <c r="E70" s="570" t="str">
        <f>"(Worksheet A-2 ln "&amp;'PSO WS A-2 Accumulated Depn'!A24&amp;".F)"</f>
        <v>(Worksheet A-2 ln 14.F)</v>
      </c>
      <c r="F70" s="608"/>
      <c r="G70" s="2102">
        <f>+'PSO WS A-2 Accumulated Depn'!G24</f>
        <v>823516353.97923064</v>
      </c>
      <c r="H70" s="582"/>
      <c r="I70" s="583" t="s">
        <v>267</v>
      </c>
      <c r="J70" s="584">
        <v>0</v>
      </c>
      <c r="K70" s="570"/>
      <c r="L70" s="2102">
        <f t="shared" ref="L70:L74" si="2">+J70*G70</f>
        <v>0</v>
      </c>
      <c r="M70" s="286"/>
      <c r="N70" s="286"/>
      <c r="O70" s="570"/>
    </row>
    <row r="71" spans="2:15">
      <c r="B71" s="571">
        <f t="shared" si="1"/>
        <v>30</v>
      </c>
      <c r="C71" s="609"/>
      <c r="D71" s="495" t="s">
        <v>17</v>
      </c>
      <c r="E71" s="570" t="str">
        <f>"(Worksheet A-2 ln "&amp;'PSO WS A-2 Accumulated Depn'!A24&amp;".G)"</f>
        <v>(Worksheet A-2 ln 14.G)</v>
      </c>
      <c r="F71" s="608"/>
      <c r="G71" s="2102">
        <f>-'PSO WS A-2 Accumulated Depn'!H24</f>
        <v>0</v>
      </c>
      <c r="H71" s="582"/>
      <c r="I71" s="583" t="s">
        <v>267</v>
      </c>
      <c r="J71" s="584">
        <v>0</v>
      </c>
      <c r="K71" s="570"/>
      <c r="L71" s="2102">
        <f t="shared" si="2"/>
        <v>0</v>
      </c>
      <c r="M71" s="286"/>
      <c r="N71" s="286"/>
      <c r="O71" s="570"/>
    </row>
    <row r="72" spans="2:15">
      <c r="B72" s="571">
        <f t="shared" si="1"/>
        <v>31</v>
      </c>
      <c r="C72" s="609"/>
      <c r="D72" s="495" t="str">
        <f>+D60</f>
        <v xml:space="preserve">  General Plant   </v>
      </c>
      <c r="E72" s="570" t="str">
        <f>"(Worksheet A-2 ln "&amp;'PSO WS A-2 Accumulated Depn'!A44&amp;".B)"</f>
        <v>(Worksheet A-2 ln 28.B)</v>
      </c>
      <c r="F72" s="608"/>
      <c r="G72" s="582">
        <f>+'PSO WS A-2 Accumulated Depn'!C44</f>
        <v>66293380.516923077</v>
      </c>
      <c r="H72" s="582"/>
      <c r="I72" s="583" t="s">
        <v>272</v>
      </c>
      <c r="J72" s="584">
        <f>+$L$221</f>
        <v>7.6073912292131618E-2</v>
      </c>
      <c r="K72" s="570"/>
      <c r="L72" s="582">
        <f t="shared" si="2"/>
        <v>5043196.8149933135</v>
      </c>
      <c r="M72" s="286"/>
      <c r="N72" s="286"/>
      <c r="O72" s="570"/>
    </row>
    <row r="73" spans="2:15">
      <c r="B73" s="571">
        <f t="shared" si="1"/>
        <v>32</v>
      </c>
      <c r="C73" s="609"/>
      <c r="D73" s="495" t="s">
        <v>18</v>
      </c>
      <c r="E73" s="570" t="str">
        <f>"(Worksheet A-2 ln "&amp;'PSO WS A-2 Accumulated Depn'!A44&amp;".C)"</f>
        <v>(Worksheet A-2 ln 28.C)</v>
      </c>
      <c r="F73" s="608"/>
      <c r="G73" s="582">
        <f>-'PSO WS A-2 Accumulated Depn'!D44</f>
        <v>-513342.26615384623</v>
      </c>
      <c r="H73" s="582"/>
      <c r="I73" s="583" t="s">
        <v>272</v>
      </c>
      <c r="J73" s="584">
        <f>+$L$221</f>
        <v>7.6073912292131618E-2</v>
      </c>
      <c r="K73" s="570"/>
      <c r="L73" s="582">
        <f t="shared" si="2"/>
        <v>-39051.954531231786</v>
      </c>
      <c r="M73" s="286"/>
      <c r="N73" s="286"/>
      <c r="O73" s="570"/>
    </row>
    <row r="74" spans="2:15" ht="16" thickBot="1">
      <c r="B74" s="571">
        <f t="shared" si="1"/>
        <v>33</v>
      </c>
      <c r="C74" s="609"/>
      <c r="D74" s="495" t="str">
        <f>+D62</f>
        <v xml:space="preserve">  Intangible Plant</v>
      </c>
      <c r="E74" s="570" t="str">
        <f>"(Worksheet A-2 ln "&amp;'PSO WS A-2 Accumulated Depn'!A44&amp;".D)"</f>
        <v>(Worksheet A-2 ln 28.D)</v>
      </c>
      <c r="F74" s="608"/>
      <c r="G74" s="615">
        <f>+'PSO WS A-2 Accumulated Depn'!E44</f>
        <v>101904269.53769231</v>
      </c>
      <c r="H74" s="582"/>
      <c r="I74" s="583" t="s">
        <v>272</v>
      </c>
      <c r="J74" s="584">
        <f>+$L$221</f>
        <v>7.6073912292131618E-2</v>
      </c>
      <c r="K74" s="570"/>
      <c r="L74" s="615">
        <f t="shared" si="2"/>
        <v>7752256.4630041448</v>
      </c>
      <c r="M74" s="286"/>
      <c r="N74" s="286"/>
      <c r="O74" s="570"/>
    </row>
    <row r="75" spans="2:15">
      <c r="B75" s="571">
        <f t="shared" si="1"/>
        <v>34</v>
      </c>
      <c r="C75" s="609"/>
      <c r="D75" s="495" t="s">
        <v>224</v>
      </c>
      <c r="E75" s="625" t="str">
        <f>"(sum lns "&amp;B66&amp;" to "&amp;B74&amp;")"</f>
        <v>(sum lns 25 to 33)</v>
      </c>
      <c r="F75" s="626"/>
      <c r="G75" s="582">
        <f>SUM(G66:G74)</f>
        <v>2270207775.04</v>
      </c>
      <c r="H75" s="582"/>
      <c r="I75" s="583"/>
      <c r="J75" s="570"/>
      <c r="K75" s="582"/>
      <c r="L75" s="582">
        <f>SUM(L66:L74)</f>
        <v>224880557.37115854</v>
      </c>
      <c r="M75" s="286"/>
      <c r="N75" s="286"/>
      <c r="O75" s="570"/>
    </row>
    <row r="76" spans="2:15">
      <c r="B76" s="571"/>
      <c r="C76" s="572"/>
      <c r="E76" s="627"/>
      <c r="F76" s="626"/>
      <c r="G76" s="582"/>
      <c r="H76" s="582"/>
      <c r="I76" s="583"/>
      <c r="J76" s="628"/>
      <c r="K76" s="570"/>
      <c r="L76" s="582"/>
      <c r="M76" s="286"/>
      <c r="N76" s="286"/>
      <c r="O76" s="570"/>
    </row>
    <row r="77" spans="2:15">
      <c r="B77" s="571">
        <f>+B75+1</f>
        <v>35</v>
      </c>
      <c r="C77" s="572"/>
      <c r="D77" s="495" t="s">
        <v>228</v>
      </c>
      <c r="E77" s="583"/>
      <c r="F77" s="583"/>
      <c r="G77" s="582"/>
      <c r="H77" s="582"/>
      <c r="I77" s="583"/>
      <c r="J77" s="570"/>
      <c r="K77" s="570"/>
      <c r="L77" s="582"/>
      <c r="M77" s="286"/>
      <c r="N77" s="286"/>
      <c r="O77" s="570"/>
    </row>
    <row r="78" spans="2:15">
      <c r="B78" s="600">
        <f t="shared" ref="B78:B83" si="3">+B77+1</f>
        <v>36</v>
      </c>
      <c r="C78" s="609"/>
      <c r="D78" s="495" t="str">
        <f>+D66</f>
        <v xml:space="preserve">  Production</v>
      </c>
      <c r="E78" s="570" t="str">
        <f>" (ln "&amp;B54&amp;" + ln "&amp;B55&amp;" - ln "&amp;B66&amp;" - ln "&amp;B67&amp;")"</f>
        <v xml:space="preserve"> (ln 14 + ln 15 - ln 25 - ln 26)</v>
      </c>
      <c r="F78" s="570"/>
      <c r="G78" s="582">
        <f>G54+G55-G66-G67</f>
        <v>1634842257.4346161</v>
      </c>
      <c r="H78" s="582"/>
      <c r="I78" s="583"/>
      <c r="J78" s="629"/>
      <c r="K78" s="570"/>
      <c r="L78" s="2102">
        <f>L54+L55-L66-L67</f>
        <v>0</v>
      </c>
      <c r="M78" s="286"/>
      <c r="N78" s="286"/>
      <c r="O78" s="570"/>
    </row>
    <row r="79" spans="2:15">
      <c r="B79" s="600">
        <f t="shared" si="3"/>
        <v>37</v>
      </c>
      <c r="C79" s="609"/>
      <c r="D79" s="495" t="str">
        <f>+D68</f>
        <v xml:space="preserve">  Transmission</v>
      </c>
      <c r="E79" s="570" t="str">
        <f>" (ln "&amp;B56&amp;" + ln "&amp;B57&amp;" - ln "&amp;B68&amp;" - ln "&amp;B69&amp;")"</f>
        <v xml:space="preserve"> (ln 16 + ln 17 - ln 27 - ln 28)</v>
      </c>
      <c r="F79" s="608"/>
      <c r="G79" s="582">
        <f>+G56+G57-G68-G69</f>
        <v>1015509212.2992309</v>
      </c>
      <c r="H79" s="582"/>
      <c r="I79" s="583"/>
      <c r="J79" s="624"/>
      <c r="K79" s="570"/>
      <c r="L79" s="2102">
        <f>+L56+L57-L68-L69</f>
        <v>800198988.26538479</v>
      </c>
      <c r="M79" s="286"/>
      <c r="N79" s="286"/>
      <c r="O79" s="570"/>
    </row>
    <row r="80" spans="2:15">
      <c r="B80" s="600">
        <f>+B79+1</f>
        <v>38</v>
      </c>
      <c r="C80" s="609"/>
      <c r="D80" s="495" t="str">
        <f>+D70</f>
        <v xml:space="preserve">  Distribution</v>
      </c>
      <c r="E80" s="570" t="str">
        <f>" (ln "&amp;B58&amp;" + ln "&amp;B59&amp;" - ln "&amp;B70&amp;" - ln "&amp;B71&amp;")"</f>
        <v xml:space="preserve"> (ln 18 + ln 19 - ln 29 - ln 30)</v>
      </c>
      <c r="F80" s="570"/>
      <c r="G80" s="582">
        <f>+G58+G59-G70-G71</f>
        <v>2740636036.3099995</v>
      </c>
      <c r="H80" s="582"/>
      <c r="I80" s="583"/>
      <c r="J80" s="628"/>
      <c r="K80" s="570"/>
      <c r="L80" s="2102">
        <f>+L58+L59-L70-L71</f>
        <v>0</v>
      </c>
      <c r="M80" s="286"/>
      <c r="N80" s="286"/>
      <c r="O80" s="570"/>
    </row>
    <row r="81" spans="2:15">
      <c r="B81" s="600">
        <f t="shared" si="3"/>
        <v>39</v>
      </c>
      <c r="C81" s="609"/>
      <c r="D81" s="495" t="str">
        <f>+D72</f>
        <v xml:space="preserve">  General Plant   </v>
      </c>
      <c r="E81" s="570" t="str">
        <f>" (ln "&amp;B60&amp;" + ln "&amp;B61&amp;" - ln "&amp;B72&amp;" - ln "&amp;B73&amp;")"</f>
        <v xml:space="preserve"> (ln 20 + ln 21 - ln 31 - ln 32)</v>
      </c>
      <c r="F81" s="570"/>
      <c r="G81" s="582">
        <f>+G60+G61-G72-G73</f>
        <v>216605759.27846155</v>
      </c>
      <c r="H81" s="582"/>
      <c r="I81" s="583"/>
      <c r="J81" s="628"/>
      <c r="K81" s="570"/>
      <c r="L81" s="582">
        <f>+L60+L61-L72-L73</f>
        <v>16478047.533320257</v>
      </c>
      <c r="M81" s="286"/>
      <c r="N81" s="286"/>
      <c r="O81" s="570"/>
    </row>
    <row r="82" spans="2:15" ht="16" thickBot="1">
      <c r="B82" s="600">
        <f t="shared" si="3"/>
        <v>40</v>
      </c>
      <c r="C82" s="609"/>
      <c r="D82" s="495" t="str">
        <f>+D74</f>
        <v xml:space="preserve">  Intangible Plant</v>
      </c>
      <c r="E82" s="570" t="str">
        <f>" (ln "&amp;B62&amp;" - ln "&amp;B74&amp;")"</f>
        <v xml:space="preserve"> (ln 22 - ln 33)</v>
      </c>
      <c r="F82" s="570"/>
      <c r="G82" s="615">
        <f>+G62-G74</f>
        <v>113725080.45461538</v>
      </c>
      <c r="H82" s="582"/>
      <c r="I82" s="583"/>
      <c r="J82" s="628"/>
      <c r="K82" s="570"/>
      <c r="L82" s="615">
        <f>+L62-L74</f>
        <v>8651511.7959200218</v>
      </c>
      <c r="M82" s="286"/>
      <c r="N82" s="286"/>
      <c r="O82" s="570"/>
    </row>
    <row r="83" spans="2:15">
      <c r="B83" s="600">
        <f t="shared" si="3"/>
        <v>41</v>
      </c>
      <c r="C83" s="609"/>
      <c r="D83" s="495" t="s">
        <v>223</v>
      </c>
      <c r="E83" s="495" t="str">
        <f>"(sum lns "&amp;B78&amp;" to "&amp;B82&amp;")"</f>
        <v>(sum lns 36 to 40)</v>
      </c>
      <c r="F83" s="570"/>
      <c r="G83" s="582">
        <f>SUM(G78:G82)</f>
        <v>5721318345.7769232</v>
      </c>
      <c r="H83" s="582"/>
      <c r="I83" s="601" t="s">
        <v>633</v>
      </c>
      <c r="J83" s="2099">
        <f>IF(G83=0,0,L83/G83)</f>
        <v>0.1442549597338566</v>
      </c>
      <c r="K83" s="570"/>
      <c r="L83" s="582">
        <f>SUM(L79:L82)</f>
        <v>825328547.59462512</v>
      </c>
      <c r="M83" s="286"/>
      <c r="N83" s="286"/>
      <c r="O83" s="570"/>
    </row>
    <row r="84" spans="2:15">
      <c r="B84" s="571"/>
      <c r="C84" s="572"/>
      <c r="D84" s="495"/>
      <c r="E84" s="570"/>
      <c r="F84" s="570"/>
      <c r="G84" s="582"/>
      <c r="H84" s="582"/>
      <c r="J84" s="630"/>
      <c r="K84" s="570"/>
      <c r="L84" s="582"/>
      <c r="M84" s="286"/>
      <c r="N84" s="286"/>
      <c r="O84" s="570"/>
    </row>
    <row r="85" spans="2:15">
      <c r="B85" s="571"/>
      <c r="C85" s="572"/>
      <c r="G85" s="286"/>
      <c r="H85" s="286"/>
      <c r="I85" s="286"/>
      <c r="J85" s="286"/>
      <c r="K85" s="286"/>
      <c r="L85" s="286"/>
      <c r="M85" s="286"/>
      <c r="N85" s="286"/>
      <c r="O85" s="570"/>
    </row>
    <row r="86" spans="2:15">
      <c r="B86" s="571">
        <f>+B83+1</f>
        <v>42</v>
      </c>
      <c r="C86" s="572"/>
      <c r="D86" s="495" t="s">
        <v>398</v>
      </c>
      <c r="E86" s="570" t="s">
        <v>176</v>
      </c>
      <c r="F86" s="583"/>
      <c r="G86" s="286"/>
      <c r="H86" s="286"/>
      <c r="I86" s="286"/>
      <c r="J86" s="286"/>
      <c r="K86" s="286"/>
      <c r="L86" s="286"/>
      <c r="M86" s="286"/>
      <c r="N86" s="286"/>
      <c r="O86" s="570"/>
    </row>
    <row r="87" spans="2:15">
      <c r="B87" s="600">
        <f t="shared" ref="B87:B92" si="4">+B86+1</f>
        <v>43</v>
      </c>
      <c r="C87" s="609"/>
      <c r="D87" s="495" t="s">
        <v>330</v>
      </c>
      <c r="E87" s="570" t="s">
        <v>35</v>
      </c>
      <c r="F87" s="570"/>
      <c r="G87" s="2102">
        <v>0</v>
      </c>
      <c r="H87" s="582"/>
      <c r="I87" s="583" t="s">
        <v>267</v>
      </c>
      <c r="J87" s="584"/>
      <c r="K87" s="570"/>
      <c r="L87" s="2102">
        <v>0</v>
      </c>
      <c r="M87" s="286"/>
      <c r="N87" s="286"/>
      <c r="O87" s="570"/>
    </row>
    <row r="88" spans="2:15">
      <c r="B88" s="600">
        <f t="shared" si="4"/>
        <v>44</v>
      </c>
      <c r="C88" s="609"/>
      <c r="D88" s="495" t="s">
        <v>331</v>
      </c>
      <c r="E88" s="570" t="str">
        <f>"(Worksheet C, ln "&amp;'PSO WS C ADIT &amp; ADITC'!A23&amp;" C &amp; ln "&amp;'PSO WS C ADIT &amp; ADITC'!A27&amp;" J)"</f>
        <v>(Worksheet C, ln 4 C &amp; ln 8 J)</v>
      </c>
      <c r="F88" s="608"/>
      <c r="G88" s="2102">
        <f>'PSO WS C ADIT &amp; ADITC'!D23</f>
        <v>-1108603301.9100001</v>
      </c>
      <c r="H88" s="582"/>
      <c r="I88" s="583" t="s">
        <v>269</v>
      </c>
      <c r="J88" s="584"/>
      <c r="K88" s="570"/>
      <c r="L88" s="2102">
        <f>'PSO WS C ADIT &amp; ADITC'!J27</f>
        <v>-148438702.25972825</v>
      </c>
      <c r="M88" s="286"/>
      <c r="N88" s="286"/>
      <c r="O88" s="570"/>
    </row>
    <row r="89" spans="2:15">
      <c r="B89" s="600">
        <f t="shared" si="4"/>
        <v>45</v>
      </c>
      <c r="C89" s="609"/>
      <c r="D89" s="495" t="s">
        <v>332</v>
      </c>
      <c r="E89" s="570" t="str">
        <f>"(Worksheet C, ln "&amp;'PSO WS C ADIT &amp; ADITC'!A36&amp;" C &amp; ln "&amp;'PSO WS C ADIT &amp; ADITC'!A38&amp;" J)"</f>
        <v>(Worksheet C, ln 12 C &amp; ln 14 J)</v>
      </c>
      <c r="F89" s="608"/>
      <c r="G89" s="2102">
        <f>'PSO WS C ADIT &amp; ADITC'!D36</f>
        <v>-300479267.1500001</v>
      </c>
      <c r="H89" s="582"/>
      <c r="I89" s="583" t="s">
        <v>269</v>
      </c>
      <c r="J89" s="584"/>
      <c r="K89" s="570"/>
      <c r="L89" s="2102">
        <f>'PSO WS C ADIT &amp; ADITC'!J38</f>
        <v>-31774347.320956502</v>
      </c>
      <c r="M89" s="286"/>
      <c r="N89" s="286"/>
      <c r="O89" s="570"/>
    </row>
    <row r="90" spans="2:15">
      <c r="B90" s="600">
        <f t="shared" si="4"/>
        <v>46</v>
      </c>
      <c r="C90" s="609"/>
      <c r="D90" s="495" t="s">
        <v>333</v>
      </c>
      <c r="E90" s="570" t="str">
        <f>"(Worksheet C, ln "&amp;'PSO WS C ADIT &amp; ADITC'!A48&amp;" C &amp; ln "&amp;'PSO WS C ADIT &amp; ADITC'!A52&amp;" J)"</f>
        <v>(Worksheet C, ln 18 C &amp; ln 22 J)</v>
      </c>
      <c r="F90" s="608"/>
      <c r="G90" s="2102">
        <f>+'PSO WS C ADIT &amp; ADITC'!D48</f>
        <v>193006451.375</v>
      </c>
      <c r="H90" s="582"/>
      <c r="I90" s="583" t="s">
        <v>269</v>
      </c>
      <c r="J90" s="584"/>
      <c r="K90" s="570"/>
      <c r="L90" s="2102">
        <f>+'PSO WS C ADIT &amp; ADITC'!J52</f>
        <v>29762788.896759775</v>
      </c>
      <c r="M90" s="286"/>
      <c r="N90" s="286"/>
      <c r="O90" s="570"/>
    </row>
    <row r="91" spans="2:15" ht="16" thickBot="1">
      <c r="B91" s="600">
        <f t="shared" si="4"/>
        <v>47</v>
      </c>
      <c r="C91" s="609"/>
      <c r="D91" s="497" t="s">
        <v>274</v>
      </c>
      <c r="E91" s="570" t="str">
        <f>"(Worksheet C, ln "&amp;'PSO WS C ADIT &amp; ADITC'!A62&amp;" C &amp; ln "&amp;'PSO WS C ADIT &amp; ADITC'!A64&amp;" J)"</f>
        <v>(Worksheet C, ln 26 C &amp; ln 28 J)</v>
      </c>
      <c r="F91" s="513"/>
      <c r="G91" s="2103">
        <f>'PSO WS C ADIT &amp; ADITC'!D62</f>
        <v>0</v>
      </c>
      <c r="H91" s="582"/>
      <c r="I91" s="583" t="s">
        <v>269</v>
      </c>
      <c r="J91" s="584"/>
      <c r="K91" s="570"/>
      <c r="L91" s="2103">
        <f>'PSO WS C ADIT &amp; ADITC'!J64</f>
        <v>0</v>
      </c>
      <c r="M91" s="286"/>
      <c r="N91" s="286"/>
      <c r="O91" s="570"/>
    </row>
    <row r="92" spans="2:15">
      <c r="B92" s="600">
        <f t="shared" si="4"/>
        <v>48</v>
      </c>
      <c r="C92" s="609"/>
      <c r="D92" s="495" t="s">
        <v>237</v>
      </c>
      <c r="E92" s="495" t="str">
        <f>"(sum lns "&amp;B87&amp;" to "&amp;B91&amp;")"</f>
        <v>(sum lns 43 to 47)</v>
      </c>
      <c r="F92" s="570"/>
      <c r="G92" s="582">
        <f>SUM(G87:G91)</f>
        <v>-1216076117.6850002</v>
      </c>
      <c r="H92" s="286"/>
      <c r="I92" s="583"/>
      <c r="J92" s="594"/>
      <c r="K92" s="570"/>
      <c r="L92" s="582">
        <f>SUM(L87:L91)</f>
        <v>-150450260.68392497</v>
      </c>
      <c r="M92" s="286"/>
      <c r="N92" s="286"/>
    </row>
    <row r="93" spans="2:15">
      <c r="B93" s="571"/>
      <c r="C93" s="572"/>
      <c r="D93" s="495"/>
      <c r="E93" s="570"/>
      <c r="F93" s="570"/>
      <c r="G93" s="582"/>
      <c r="H93" s="286"/>
      <c r="I93" s="583"/>
      <c r="J93" s="628"/>
      <c r="K93" s="570"/>
      <c r="L93" s="582"/>
      <c r="M93" s="286"/>
      <c r="N93" s="286"/>
    </row>
    <row r="94" spans="2:15">
      <c r="B94" s="571">
        <f>+B92+1</f>
        <v>49</v>
      </c>
      <c r="C94" s="572"/>
      <c r="D94" s="495" t="s">
        <v>343</v>
      </c>
      <c r="E94" s="570" t="str">
        <f>"(Worksheet A-1 ln "&amp;'PSO WS A-1 - Plant'!A53&amp;".F)"</f>
        <v>(Worksheet A-1 ln 30.F)</v>
      </c>
      <c r="F94" s="570"/>
      <c r="G94" s="582">
        <f>+'PSO WS A-1 - Plant'!I53</f>
        <v>519732.52</v>
      </c>
      <c r="H94" s="286"/>
      <c r="I94" s="583" t="s">
        <v>269</v>
      </c>
      <c r="J94" s="584"/>
      <c r="K94" s="570"/>
      <c r="L94" s="2102">
        <f>+'PSO WS A-1 - Plant'!I51</f>
        <v>0</v>
      </c>
      <c r="M94" s="286"/>
      <c r="N94" s="286"/>
    </row>
    <row r="95" spans="2:15">
      <c r="B95" s="571"/>
      <c r="C95" s="572"/>
      <c r="D95" s="495"/>
      <c r="E95" s="570"/>
      <c r="F95" s="570"/>
      <c r="G95" s="582"/>
      <c r="H95" s="286"/>
      <c r="I95" s="583"/>
      <c r="J95" s="584"/>
      <c r="K95" s="570"/>
      <c r="L95" s="582"/>
      <c r="M95" s="286"/>
      <c r="N95" s="286"/>
    </row>
    <row r="96" spans="2:15">
      <c r="B96" s="571">
        <f>+B94+1</f>
        <v>50</v>
      </c>
      <c r="C96" s="572"/>
      <c r="D96" s="495" t="s">
        <v>635</v>
      </c>
      <c r="E96" s="570" t="str">
        <f>"(Worksheet S ln "&amp;'PSO WS S Reg Assets'!B45&amp;" cols. G and J) (Note W)"</f>
        <v>(Worksheet S ln 10 cols. G and J) (Note W)</v>
      </c>
      <c r="F96" s="570"/>
      <c r="G96" s="2102">
        <f>+'PSO WS S Reg Assets'!K45</f>
        <v>0</v>
      </c>
      <c r="H96" s="286"/>
      <c r="I96" s="583" t="s">
        <v>269</v>
      </c>
      <c r="J96" s="584"/>
      <c r="K96" s="570"/>
      <c r="L96" s="2102">
        <f>+'PSO WS S Reg Assets'!N45</f>
        <v>0</v>
      </c>
      <c r="M96" s="286"/>
      <c r="N96" s="286"/>
    </row>
    <row r="97" spans="2:14">
      <c r="B97" s="571"/>
      <c r="C97" s="572"/>
      <c r="D97" s="495"/>
      <c r="E97" s="570"/>
      <c r="F97" s="570"/>
      <c r="G97" s="582"/>
      <c r="H97" s="286"/>
      <c r="I97" s="583"/>
      <c r="J97" s="584"/>
      <c r="K97" s="570"/>
      <c r="L97" s="582"/>
      <c r="M97" s="286"/>
      <c r="N97" s="286"/>
    </row>
    <row r="98" spans="2:14">
      <c r="B98" s="600">
        <f>+B96+1</f>
        <v>51</v>
      </c>
      <c r="C98" s="609"/>
      <c r="D98" s="495" t="s">
        <v>877</v>
      </c>
      <c r="E98" s="570" t="str">
        <f>"(Worksheet R, ln "&amp;'PSO WS R Unfunded Reserves'!A16&amp;" F)"</f>
        <v>(Worksheet R, ln 6 F)</v>
      </c>
      <c r="F98" s="608"/>
      <c r="G98" s="582">
        <f>-'PSO WS R Unfunded Reserves'!H16</f>
        <v>-189816.383</v>
      </c>
      <c r="H98" s="286"/>
      <c r="I98" s="583" t="s">
        <v>272</v>
      </c>
      <c r="J98" s="584">
        <f>+$L$221</f>
        <v>7.6073912292131618E-2</v>
      </c>
      <c r="K98" s="570"/>
      <c r="L98" s="582">
        <f>+J98*G98</f>
        <v>-14440.074871951663</v>
      </c>
      <c r="M98" s="286"/>
      <c r="N98" s="286"/>
    </row>
    <row r="99" spans="2:14">
      <c r="B99" s="571"/>
      <c r="C99" s="572"/>
      <c r="D99" s="495"/>
      <c r="E99" s="570"/>
      <c r="F99" s="570"/>
      <c r="G99" s="582"/>
      <c r="H99" s="286"/>
      <c r="I99" s="583"/>
      <c r="J99" s="584"/>
      <c r="K99" s="570"/>
      <c r="L99" s="582"/>
      <c r="M99" s="286"/>
      <c r="N99" s="286"/>
    </row>
    <row r="100" spans="2:14">
      <c r="B100" s="571">
        <f>+B98+1</f>
        <v>52</v>
      </c>
      <c r="C100" s="572"/>
      <c r="D100" s="495" t="s">
        <v>238</v>
      </c>
      <c r="E100" s="570" t="s">
        <v>143</v>
      </c>
      <c r="F100" s="570"/>
      <c r="G100" s="582"/>
      <c r="H100" s="286"/>
      <c r="I100" s="583"/>
      <c r="J100" s="570"/>
      <c r="K100" s="570"/>
      <c r="L100" s="582"/>
      <c r="M100" s="286"/>
      <c r="N100" s="286"/>
    </row>
    <row r="101" spans="2:14">
      <c r="B101" s="600">
        <f t="shared" ref="B101:B109" si="5">+B100+1</f>
        <v>53</v>
      </c>
      <c r="C101" s="609"/>
      <c r="D101" s="495" t="s">
        <v>342</v>
      </c>
      <c r="E101" s="497" t="str">
        <f>"(1/8 * (ln "&amp;B134&amp;" - Ln "&amp;B133&amp;")) (Note G)"</f>
        <v>(1/8 * (ln 70 - Ln 69)) (Note G)</v>
      </c>
      <c r="G101" s="582">
        <f>(+G134-G133)/8</f>
        <v>2275455.8147500008</v>
      </c>
      <c r="H101" s="570"/>
      <c r="I101" s="583"/>
      <c r="J101" s="628"/>
      <c r="K101" s="570"/>
      <c r="L101" s="582">
        <f>+L134/8</f>
        <v>1821405.0447316091</v>
      </c>
      <c r="M101" s="286"/>
      <c r="N101" s="286"/>
    </row>
    <row r="102" spans="2:14">
      <c r="B102" s="600">
        <f t="shared" si="5"/>
        <v>54</v>
      </c>
      <c r="C102" s="609"/>
      <c r="D102" s="495" t="s">
        <v>403</v>
      </c>
      <c r="E102" s="570" t="str">
        <f>"(Worksheet D, pg 1 ln "&amp;'PSO WS D Working Capital'!A16&amp;" E)"</f>
        <v>(Worksheet D, pg 1 ln 1 E)</v>
      </c>
      <c r="F102" s="608"/>
      <c r="G102" s="582">
        <f>+'PSO WS D Working Capital'!G16</f>
        <v>820448.53728546388</v>
      </c>
      <c r="H102" s="286"/>
      <c r="I102" s="583" t="s">
        <v>260</v>
      </c>
      <c r="J102" s="584">
        <f>+$L$211</f>
        <v>0.80045722396579377</v>
      </c>
      <c r="K102" s="570"/>
      <c r="L102" s="582">
        <f>+J102*G102</f>
        <v>656733.95856231847</v>
      </c>
      <c r="M102" s="286"/>
      <c r="N102" s="286"/>
    </row>
    <row r="103" spans="2:14">
      <c r="B103" s="600">
        <f t="shared" si="5"/>
        <v>55</v>
      </c>
      <c r="C103" s="609"/>
      <c r="D103" s="495" t="s">
        <v>404</v>
      </c>
      <c r="E103" s="570" t="str">
        <f>"(Worksheet D, pg 1 ln "&amp;'PSO WS D Working Capital'!A17&amp;" E)"</f>
        <v>(Worksheet D, pg 1 ln 2 E)</v>
      </c>
      <c r="F103" s="608"/>
      <c r="G103" s="582">
        <f>+'PSO WS D Working Capital'!G17</f>
        <v>1148121.6472138697</v>
      </c>
      <c r="H103" s="286"/>
      <c r="I103" s="583" t="s">
        <v>272</v>
      </c>
      <c r="J103" s="584">
        <f>+$L$221</f>
        <v>7.6073912292131618E-2</v>
      </c>
      <c r="K103" s="570"/>
      <c r="L103" s="582">
        <f>+J103*G103</f>
        <v>87342.105490845599</v>
      </c>
      <c r="M103" s="286"/>
      <c r="N103" s="286"/>
    </row>
    <row r="104" spans="2:14">
      <c r="B104" s="600">
        <f t="shared" si="5"/>
        <v>56</v>
      </c>
      <c r="C104" s="609"/>
      <c r="D104" s="495" t="s">
        <v>197</v>
      </c>
      <c r="E104" s="570" t="str">
        <f>"(Worksheet D, pg 1 ln "&amp;'PSO WS D Working Capital'!A18&amp;" E)"</f>
        <v>(Worksheet D, pg 1 ln 3 E)</v>
      </c>
      <c r="F104" s="608"/>
      <c r="G104" s="2102">
        <f>+'PSO WS D Working Capital'!G18</f>
        <v>0</v>
      </c>
      <c r="H104" s="286"/>
      <c r="I104" s="598" t="s">
        <v>631</v>
      </c>
      <c r="J104" s="584">
        <f>+$J$63</f>
        <v>0.13141533783267259</v>
      </c>
      <c r="K104" s="570"/>
      <c r="L104" s="2102">
        <f>+J104*G104</f>
        <v>0</v>
      </c>
      <c r="M104" s="286"/>
      <c r="N104" s="286"/>
    </row>
    <row r="105" spans="2:14">
      <c r="B105" s="600">
        <f t="shared" si="5"/>
        <v>57</v>
      </c>
      <c r="C105" s="609"/>
      <c r="D105" s="495" t="s">
        <v>347</v>
      </c>
      <c r="E105" s="570" t="str">
        <f>"(Worksheet D, pg 1 ln "&amp;'PSO WS D Working Capital'!A52&amp;" G)"</f>
        <v>(Worksheet D, pg 1 ln 30 G)</v>
      </c>
      <c r="F105" s="608"/>
      <c r="G105" s="2102">
        <f>+'PSO WS D Working Capital'!J52</f>
        <v>133705733.19576922</v>
      </c>
      <c r="H105" s="286"/>
      <c r="I105" s="583" t="s">
        <v>272</v>
      </c>
      <c r="J105" s="584">
        <f>+$L$221</f>
        <v>7.6073912292131618E-2</v>
      </c>
      <c r="K105" s="570"/>
      <c r="L105" s="2102">
        <f>+J105*G105</f>
        <v>10171518.220090099</v>
      </c>
      <c r="M105" s="286"/>
      <c r="N105" s="286"/>
    </row>
    <row r="106" spans="2:14">
      <c r="B106" s="600">
        <f t="shared" si="5"/>
        <v>58</v>
      </c>
      <c r="C106" s="609"/>
      <c r="D106" s="495" t="s">
        <v>348</v>
      </c>
      <c r="E106" s="570" t="str">
        <f>"(Worksheet D, pg 1 ln "&amp;'PSO WS D Working Capital'!A52&amp;" F)"</f>
        <v>(Worksheet D, pg 1 ln 30 F)</v>
      </c>
      <c r="F106" s="608"/>
      <c r="G106" s="2102">
        <f>+'PSO WS D Working Capital'!I52</f>
        <v>2584643.6184615381</v>
      </c>
      <c r="H106" s="286"/>
      <c r="I106" s="598" t="s">
        <v>631</v>
      </c>
      <c r="J106" s="584">
        <f>+$J$63</f>
        <v>0.13141533783267259</v>
      </c>
      <c r="K106" s="570"/>
      <c r="L106" s="2102">
        <f>+G106*J106</f>
        <v>339661.81429718435</v>
      </c>
      <c r="M106" s="286"/>
      <c r="N106" s="286"/>
    </row>
    <row r="107" spans="2:14">
      <c r="B107" s="600">
        <f t="shared" si="5"/>
        <v>59</v>
      </c>
      <c r="C107" s="609"/>
      <c r="D107" s="495" t="s">
        <v>389</v>
      </c>
      <c r="E107" s="570" t="str">
        <f>"(Worksheet D, pg 1 ln "&amp;'PSO WS D Working Capital'!A52&amp;" E)"</f>
        <v>(Worksheet D, pg 1 ln 30 E)</v>
      </c>
      <c r="F107" s="608"/>
      <c r="G107" s="2102">
        <f>+'PSO WS D Working Capital'!G52</f>
        <v>0</v>
      </c>
      <c r="H107" s="286"/>
      <c r="I107" s="583" t="s">
        <v>269</v>
      </c>
      <c r="J107" s="584">
        <v>1</v>
      </c>
      <c r="K107" s="570"/>
      <c r="L107" s="2102">
        <f>+G107</f>
        <v>0</v>
      </c>
      <c r="M107" s="286"/>
      <c r="N107" s="286"/>
    </row>
    <row r="108" spans="2:14" ht="16" thickBot="1">
      <c r="B108" s="600">
        <f t="shared" si="5"/>
        <v>60</v>
      </c>
      <c r="C108" s="609"/>
      <c r="D108" s="495" t="s">
        <v>245</v>
      </c>
      <c r="E108" s="570" t="str">
        <f>"(Worksheet D, pg 1 ln "&amp;'PSO WS D Working Capital'!A52&amp;" D)"</f>
        <v>(Worksheet D, pg 1 ln 30 D)</v>
      </c>
      <c r="F108" s="608"/>
      <c r="G108" s="615">
        <f>+'PSO WS D Working Capital'!E52</f>
        <v>-126452671.28369233</v>
      </c>
      <c r="H108" s="582"/>
      <c r="I108" s="583" t="s">
        <v>267</v>
      </c>
      <c r="J108" s="584">
        <v>0</v>
      </c>
      <c r="K108" s="570"/>
      <c r="L108" s="2103">
        <f>+G108*J108</f>
        <v>0</v>
      </c>
      <c r="M108" s="286"/>
      <c r="N108" s="286"/>
    </row>
    <row r="109" spans="2:14">
      <c r="B109" s="600">
        <f t="shared" si="5"/>
        <v>61</v>
      </c>
      <c r="C109" s="609"/>
      <c r="D109" s="495" t="s">
        <v>222</v>
      </c>
      <c r="E109" s="495" t="str">
        <f>"(sum lns "&amp;B101&amp;" to "&amp;B108&amp;")"</f>
        <v>(sum lns 53 to 60)</v>
      </c>
      <c r="F109" s="495"/>
      <c r="G109" s="582">
        <f>SUM(G101:G108)</f>
        <v>14081731.529787779</v>
      </c>
      <c r="H109" s="495"/>
      <c r="I109" s="572"/>
      <c r="J109" s="495"/>
      <c r="K109" s="495"/>
      <c r="L109" s="582">
        <f>SUM(L101:L108)</f>
        <v>13076661.143172055</v>
      </c>
      <c r="M109" s="286"/>
      <c r="N109" s="286"/>
    </row>
    <row r="110" spans="2:14">
      <c r="B110" s="571"/>
      <c r="C110" s="572"/>
      <c r="D110" s="495"/>
      <c r="E110" s="495"/>
      <c r="F110" s="495"/>
      <c r="G110" s="582"/>
      <c r="H110" s="495"/>
      <c r="I110" s="572"/>
      <c r="J110" s="495"/>
      <c r="K110" s="495"/>
      <c r="L110" s="582"/>
      <c r="M110" s="286"/>
      <c r="N110" s="286"/>
    </row>
    <row r="111" spans="2:14">
      <c r="B111" s="571">
        <f>+B109+1</f>
        <v>62</v>
      </c>
      <c r="C111" s="572"/>
      <c r="D111" s="495" t="s">
        <v>211</v>
      </c>
      <c r="E111" s="495" t="str">
        <f>"(Note H) (Worksheet E, ln "&amp;'PSO WS E IPP Credits'!A22&amp;" B)"</f>
        <v>(Note H) (Worksheet E, ln 8 B)</v>
      </c>
      <c r="F111" s="495"/>
      <c r="G111" s="2102">
        <f>IF(G63=0,0,-'PSO WS E IPP Credits'!C22)</f>
        <v>0</v>
      </c>
      <c r="H111" s="495"/>
      <c r="I111" s="631" t="s">
        <v>269</v>
      </c>
      <c r="J111" s="584">
        <v>1</v>
      </c>
      <c r="K111" s="570"/>
      <c r="L111" s="2102">
        <f>+J111*G111</f>
        <v>0</v>
      </c>
      <c r="M111" s="286"/>
      <c r="N111" s="286"/>
    </row>
    <row r="112" spans="2:14" ht="16" thickBot="1">
      <c r="E112" s="570"/>
      <c r="F112" s="570"/>
      <c r="G112" s="615"/>
      <c r="H112" s="570"/>
      <c r="I112" s="583"/>
      <c r="J112" s="570"/>
      <c r="K112" s="570"/>
      <c r="L112" s="615"/>
      <c r="M112" s="286"/>
      <c r="N112" s="286"/>
    </row>
    <row r="113" spans="2:15" ht="16" thickBot="1">
      <c r="B113" s="571">
        <f>+B111+1</f>
        <v>63</v>
      </c>
      <c r="C113" s="572"/>
      <c r="D113" s="495" t="str">
        <f>"RATE BASE  (sum lns "&amp;B83&amp;", "&amp;B92&amp;", "&amp;B94&amp;", "&amp;B96&amp;", "&amp;B98&amp;", "&amp;B109&amp;", "&amp;B111&amp;")"</f>
        <v>RATE BASE  (sum lns 41, 48, 49, 50, 51, 61, 62)</v>
      </c>
      <c r="E113" s="570"/>
      <c r="F113" s="570"/>
      <c r="G113" s="632">
        <f>+G83+G92+G94+G96+G98+G109+G111</f>
        <v>4519653875.7587109</v>
      </c>
      <c r="H113" s="570"/>
      <c r="I113" s="570"/>
      <c r="J113" s="628"/>
      <c r="K113" s="570"/>
      <c r="L113" s="632">
        <f>+L83+L92+L94+L96+L98+L109+L111</f>
        <v>687940507.97900021</v>
      </c>
      <c r="M113" s="286"/>
      <c r="N113" s="286"/>
    </row>
    <row r="114" spans="2:15" ht="16" thickTop="1">
      <c r="B114" s="571"/>
      <c r="C114" s="286"/>
      <c r="D114" s="286"/>
      <c r="E114" s="286"/>
      <c r="F114" s="286"/>
      <c r="G114" s="286"/>
      <c r="H114" s="286"/>
      <c r="I114" s="505"/>
      <c r="J114" s="505"/>
      <c r="K114" s="505"/>
      <c r="M114" s="286"/>
      <c r="N114" s="286"/>
    </row>
    <row r="115" spans="2:15">
      <c r="B115" s="571"/>
      <c r="C115" s="572"/>
      <c r="D115" s="495"/>
      <c r="E115" s="570"/>
      <c r="F115" s="570"/>
      <c r="G115" s="570"/>
      <c r="H115" s="570"/>
      <c r="I115" s="570"/>
      <c r="J115" s="570"/>
      <c r="K115" s="570"/>
      <c r="L115" s="570"/>
      <c r="M115" s="286"/>
      <c r="N115" s="286"/>
    </row>
    <row r="116" spans="2:15">
      <c r="B116" s="571"/>
      <c r="C116" s="572"/>
      <c r="D116" s="495"/>
      <c r="E116" s="570"/>
      <c r="F116" s="583" t="str">
        <f>F42</f>
        <v xml:space="preserve">AEP West SPP Member Operating Companies </v>
      </c>
      <c r="G116" s="583"/>
      <c r="H116" s="570"/>
      <c r="I116" s="570"/>
      <c r="J116" s="570"/>
      <c r="K116" s="570"/>
      <c r="L116" s="570"/>
      <c r="M116" s="286"/>
      <c r="N116" s="286"/>
    </row>
    <row r="117" spans="2:15">
      <c r="B117" s="571"/>
      <c r="C117" s="572"/>
      <c r="D117" s="495"/>
      <c r="E117" s="570"/>
      <c r="F117" s="583" t="str">
        <f>F43</f>
        <v>Transmission Cost of Service Formula Rate</v>
      </c>
      <c r="G117" s="583"/>
      <c r="H117" s="570"/>
      <c r="I117" s="570"/>
      <c r="J117" s="570"/>
      <c r="K117" s="570"/>
      <c r="L117" s="570"/>
      <c r="M117" s="286"/>
      <c r="N117" s="286"/>
    </row>
    <row r="118" spans="2:15">
      <c r="B118" s="571"/>
      <c r="C118" s="572"/>
      <c r="E118" s="570"/>
      <c r="F118" s="583" t="str">
        <f>F44</f>
        <v>Utilizing Actual / Projected Cost Data for the 2024 Rate Year</v>
      </c>
      <c r="G118" s="570"/>
      <c r="H118" s="570"/>
      <c r="I118" s="570"/>
      <c r="J118" s="570"/>
      <c r="K118" s="570"/>
      <c r="L118" s="570"/>
      <c r="M118" s="286"/>
      <c r="N118" s="286"/>
    </row>
    <row r="119" spans="2:15">
      <c r="B119" s="571"/>
      <c r="C119" s="572"/>
      <c r="E119" s="570"/>
      <c r="F119" s="583"/>
      <c r="G119" s="570"/>
      <c r="H119" s="570"/>
      <c r="I119" s="570"/>
      <c r="J119" s="570"/>
      <c r="K119" s="570"/>
      <c r="L119" s="570"/>
      <c r="M119" s="286"/>
      <c r="N119" s="286"/>
    </row>
    <row r="120" spans="2:15">
      <c r="B120" s="571"/>
      <c r="C120" s="572"/>
      <c r="E120" s="633"/>
      <c r="F120" s="583" t="str">
        <f>F46</f>
        <v>PUBLIC SERVICE COMPANY OF OKLAHOMA</v>
      </c>
      <c r="G120" s="633"/>
      <c r="H120" s="633"/>
      <c r="I120" s="633"/>
      <c r="J120" s="633"/>
      <c r="K120" s="633"/>
      <c r="M120" s="286"/>
      <c r="N120" s="286"/>
    </row>
    <row r="121" spans="2:15">
      <c r="B121" s="571"/>
      <c r="C121" s="572"/>
      <c r="E121" s="633"/>
      <c r="F121" s="583"/>
      <c r="G121" s="633"/>
      <c r="H121" s="633"/>
      <c r="I121" s="633"/>
      <c r="J121" s="633"/>
      <c r="K121" s="633"/>
      <c r="M121" s="286"/>
      <c r="N121" s="286"/>
    </row>
    <row r="122" spans="2:15">
      <c r="D122" s="572" t="s">
        <v>261</v>
      </c>
      <c r="E122" s="572" t="s">
        <v>262</v>
      </c>
      <c r="F122" s="572"/>
      <c r="G122" s="572" t="s">
        <v>263</v>
      </c>
      <c r="H122" s="570"/>
      <c r="I122" s="2269" t="s">
        <v>264</v>
      </c>
      <c r="J122" s="2270"/>
      <c r="K122" s="570"/>
      <c r="L122" s="573" t="s">
        <v>265</v>
      </c>
      <c r="M122" s="286"/>
      <c r="N122" s="286"/>
    </row>
    <row r="123" spans="2:15">
      <c r="B123" s="497"/>
      <c r="D123" s="572"/>
      <c r="E123" s="572"/>
      <c r="F123" s="572"/>
      <c r="G123" s="572"/>
      <c r="H123" s="570"/>
      <c r="I123" s="570"/>
      <c r="J123" s="599"/>
      <c r="K123" s="570"/>
      <c r="M123" s="286"/>
      <c r="N123" s="1336"/>
      <c r="O123" s="505"/>
    </row>
    <row r="124" spans="2:15">
      <c r="B124" s="600"/>
      <c r="C124" s="572"/>
      <c r="D124" s="634" t="s">
        <v>241</v>
      </c>
      <c r="E124" s="601" t="str">
        <f>E50</f>
        <v>Data Sources</v>
      </c>
      <c r="F124" s="602"/>
      <c r="G124" s="570"/>
      <c r="H124" s="570"/>
      <c r="I124" s="570"/>
      <c r="J124" s="572"/>
      <c r="K124" s="570"/>
      <c r="L124" s="601" t="str">
        <f>L50</f>
        <v>Total</v>
      </c>
      <c r="M124" s="286"/>
      <c r="N124" s="1336"/>
      <c r="O124" s="505"/>
    </row>
    <row r="125" spans="2:15">
      <c r="B125" s="497"/>
      <c r="C125" s="572"/>
      <c r="D125" s="604" t="s">
        <v>242</v>
      </c>
      <c r="E125" s="635" t="str">
        <f>E51</f>
        <v>(See "General Notes")</v>
      </c>
      <c r="F125" s="570"/>
      <c r="G125" s="635" t="str">
        <f>G51</f>
        <v>TO Total</v>
      </c>
      <c r="H125" s="606"/>
      <c r="I125" s="2267" t="str">
        <f>I51</f>
        <v>Allocator</v>
      </c>
      <c r="J125" s="2268"/>
      <c r="K125" s="606"/>
      <c r="L125" s="635" t="str">
        <f>L51</f>
        <v>Transmission</v>
      </c>
      <c r="M125" s="286"/>
      <c r="N125" s="1336"/>
      <c r="O125" s="505"/>
    </row>
    <row r="126" spans="2:15">
      <c r="B126" s="636" t="str">
        <f>B52</f>
        <v>Line</v>
      </c>
      <c r="D126" s="495"/>
      <c r="E126" s="570"/>
      <c r="F126" s="570"/>
      <c r="G126" s="604"/>
      <c r="H126" s="637"/>
      <c r="I126" s="634"/>
      <c r="K126" s="637"/>
      <c r="L126" s="604"/>
      <c r="M126" s="286"/>
      <c r="N126" s="1336"/>
    </row>
    <row r="127" spans="2:15" ht="16" thickBot="1">
      <c r="B127" s="577" t="str">
        <f>B53</f>
        <v>No.</v>
      </c>
      <c r="C127" s="572"/>
      <c r="D127" s="495" t="s">
        <v>243</v>
      </c>
      <c r="E127" s="570"/>
      <c r="F127" s="570"/>
      <c r="G127" s="570"/>
      <c r="H127" s="570"/>
      <c r="I127" s="583"/>
      <c r="J127" s="570"/>
      <c r="K127" s="570"/>
      <c r="L127" s="570"/>
      <c r="M127" s="286"/>
      <c r="N127" s="1336"/>
    </row>
    <row r="128" spans="2:15">
      <c r="B128" s="571">
        <f>+B113+1</f>
        <v>64</v>
      </c>
      <c r="C128" s="572"/>
      <c r="D128" s="495" t="s">
        <v>275</v>
      </c>
      <c r="E128" s="570" t="s">
        <v>53</v>
      </c>
      <c r="F128" s="570"/>
      <c r="G128" s="638">
        <v>194008765.05800003</v>
      </c>
      <c r="H128"/>
      <c r="I128" s="286"/>
      <c r="J128" s="286"/>
      <c r="K128" s="286"/>
      <c r="L128" s="286"/>
      <c r="M128" s="286"/>
      <c r="O128" s="570"/>
    </row>
    <row r="129" spans="1:15">
      <c r="A129" s="286"/>
      <c r="B129" s="571">
        <f>+B128+1</f>
        <v>65</v>
      </c>
      <c r="C129" s="572"/>
      <c r="D129" s="495" t="s">
        <v>399</v>
      </c>
      <c r="E129" s="570" t="s">
        <v>183</v>
      </c>
      <c r="F129" s="570"/>
      <c r="G129" s="638">
        <v>9328016.8599999994</v>
      </c>
      <c r="H129"/>
      <c r="I129" s="286"/>
      <c r="J129" s="286"/>
      <c r="K129" s="286"/>
      <c r="L129" s="286"/>
      <c r="M129" s="286"/>
      <c r="N129" s="1336"/>
      <c r="O129" s="570"/>
    </row>
    <row r="130" spans="1:15">
      <c r="A130" s="286"/>
      <c r="B130" s="571">
        <f t="shared" ref="B130:B134" si="6">+B129+1</f>
        <v>66</v>
      </c>
      <c r="C130" s="572"/>
      <c r="D130" s="495" t="s">
        <v>206</v>
      </c>
      <c r="E130" s="570" t="s">
        <v>184</v>
      </c>
      <c r="F130" s="570"/>
      <c r="G130" s="638">
        <v>166477101.68000001</v>
      </c>
      <c r="H130"/>
      <c r="I130" s="286"/>
      <c r="J130" s="286"/>
      <c r="K130" s="286"/>
      <c r="L130" s="286"/>
      <c r="M130" s="286"/>
      <c r="N130" s="1336"/>
      <c r="O130" s="570"/>
    </row>
    <row r="131" spans="1:15">
      <c r="A131" s="286"/>
      <c r="B131" s="571">
        <f t="shared" si="6"/>
        <v>67</v>
      </c>
      <c r="C131" s="572"/>
      <c r="D131" s="495" t="s">
        <v>764</v>
      </c>
      <c r="E131" s="570" t="str">
        <f>"Worksheet S ln "&amp;'PSO WS S Reg Assets'!B16&amp;" (Note V)"</f>
        <v>Worksheet S ln 2 (Note V)</v>
      </c>
      <c r="F131" s="570"/>
      <c r="G131" s="2233">
        <f>+'PSO WS S Reg Assets'!I16</f>
        <v>0</v>
      </c>
      <c r="H131"/>
      <c r="I131" s="286"/>
      <c r="J131" s="286"/>
      <c r="K131" s="286"/>
      <c r="L131" s="286"/>
      <c r="M131" s="286"/>
      <c r="N131" s="286"/>
      <c r="O131" s="570"/>
    </row>
    <row r="132" spans="1:15">
      <c r="A132" s="286"/>
      <c r="B132" s="571">
        <f t="shared" si="6"/>
        <v>68</v>
      </c>
      <c r="C132" s="572"/>
      <c r="D132" s="495" t="s">
        <v>645</v>
      </c>
      <c r="E132" s="570" t="str">
        <f>"Worksheet I ln "&amp;'PSO WS I Exp Adj'!B21&amp;""</f>
        <v>Worksheet I ln 10</v>
      </c>
      <c r="F132" s="570"/>
      <c r="G132" s="2102">
        <f>+'PSO WS I Exp Adj'!G21</f>
        <v>0</v>
      </c>
      <c r="H132"/>
      <c r="I132" s="286"/>
      <c r="J132" s="286"/>
      <c r="K132" s="286"/>
      <c r="L132" s="286"/>
      <c r="M132" s="286"/>
      <c r="N132"/>
      <c r="O132" s="570"/>
    </row>
    <row r="133" spans="1:15" ht="16" thickBot="1">
      <c r="A133" s="286"/>
      <c r="B133" s="571">
        <f t="shared" si="6"/>
        <v>69</v>
      </c>
      <c r="C133" s="572"/>
      <c r="D133" s="495" t="s">
        <v>765</v>
      </c>
      <c r="E133" s="570" t="str">
        <f>"Worksheet S ln "&amp;'PSO WS S Reg Assets'!B23&amp;" (Note V)"</f>
        <v>Worksheet S ln 4 (Note V)</v>
      </c>
      <c r="F133" s="570"/>
      <c r="G133" s="2102">
        <f>+'PSO WS S Reg Assets'!I23</f>
        <v>0</v>
      </c>
      <c r="H133"/>
      <c r="I133" s="286"/>
      <c r="J133" s="286"/>
      <c r="K133" s="286"/>
      <c r="L133" s="286"/>
      <c r="M133" s="286"/>
      <c r="N133"/>
      <c r="O133" s="570"/>
    </row>
    <row r="134" spans="1:15">
      <c r="A134" s="286"/>
      <c r="B134" s="571">
        <f t="shared" si="6"/>
        <v>70</v>
      </c>
      <c r="C134" s="572"/>
      <c r="D134" s="495" t="s">
        <v>49</v>
      </c>
      <c r="E134" s="570" t="str">
        <f>"(lns "&amp;B128&amp;" - "&amp;B129&amp;" - "&amp;B130&amp;" - "&amp;B131&amp;" + "&amp;B132&amp;" + "&amp;B133&amp;")"</f>
        <v>(lns 64 - 65 - 66 - 67 + 68 + 69)</v>
      </c>
      <c r="F134" s="495"/>
      <c r="G134" s="640">
        <f>+G128-G129-G130-G131+G132+G133</f>
        <v>18203646.518000007</v>
      </c>
      <c r="H134"/>
      <c r="I134" s="583" t="s">
        <v>260</v>
      </c>
      <c r="J134" s="584">
        <f>+$L$211</f>
        <v>0.80045722396579377</v>
      </c>
      <c r="K134" s="570"/>
      <c r="L134" s="582">
        <f>+J134*G134</f>
        <v>14571240.357852872</v>
      </c>
      <c r="M134" s="286"/>
      <c r="N134"/>
      <c r="O134" s="570"/>
    </row>
    <row r="135" spans="1:15">
      <c r="A135" s="286"/>
      <c r="B135" s="571"/>
      <c r="C135" s="572"/>
      <c r="D135" s="495"/>
      <c r="E135" s="570"/>
      <c r="F135" s="570"/>
      <c r="G135" s="286"/>
      <c r="H135"/>
      <c r="I135" s="286"/>
      <c r="J135" s="286"/>
      <c r="K135" s="286"/>
      <c r="L135" s="286"/>
      <c r="M135" s="286"/>
      <c r="N135"/>
      <c r="O135" s="570"/>
    </row>
    <row r="136" spans="1:15">
      <c r="A136" s="286"/>
      <c r="B136" s="571">
        <f>+B134+1</f>
        <v>71</v>
      </c>
      <c r="C136" s="572"/>
      <c r="D136" s="495" t="s">
        <v>244</v>
      </c>
      <c r="E136" s="570" t="s">
        <v>416</v>
      </c>
      <c r="F136" s="570"/>
      <c r="G136" s="638">
        <v>62334840.377000019</v>
      </c>
      <c r="H136"/>
      <c r="I136" s="624"/>
      <c r="J136" s="624"/>
      <c r="K136" s="570"/>
      <c r="L136" s="582"/>
      <c r="M136" s="286"/>
      <c r="N136"/>
      <c r="O136" s="570"/>
    </row>
    <row r="137" spans="1:15">
      <c r="A137" s="286"/>
      <c r="B137" s="571">
        <f t="shared" ref="B137:B144" si="7">+B136+1</f>
        <v>72</v>
      </c>
      <c r="C137" s="572"/>
      <c r="D137" s="495" t="s">
        <v>401</v>
      </c>
      <c r="E137" s="570" t="s">
        <v>54</v>
      </c>
      <c r="F137" s="570"/>
      <c r="G137" s="638">
        <v>1784344.4</v>
      </c>
      <c r="H137"/>
      <c r="I137" s="624"/>
      <c r="J137" s="495"/>
      <c r="K137" s="570"/>
      <c r="L137" s="582"/>
      <c r="M137" s="286"/>
      <c r="N137"/>
      <c r="O137" s="570"/>
    </row>
    <row r="138" spans="1:15">
      <c r="B138" s="571">
        <f t="shared" si="7"/>
        <v>73</v>
      </c>
      <c r="C138" s="572"/>
      <c r="D138" s="495" t="s">
        <v>400</v>
      </c>
      <c r="E138" s="570" t="s">
        <v>185</v>
      </c>
      <c r="F138" s="570"/>
      <c r="G138" s="582">
        <f>+'PSO WS J Misc Exp'!D54</f>
        <v>5330429.2199999988</v>
      </c>
      <c r="H138"/>
      <c r="I138" s="624"/>
      <c r="J138" s="641"/>
      <c r="K138" s="570"/>
      <c r="L138" s="582"/>
      <c r="M138" s="286"/>
      <c r="N138" s="1336"/>
      <c r="O138" s="570"/>
    </row>
    <row r="139" spans="1:15">
      <c r="B139" s="571">
        <f t="shared" si="7"/>
        <v>74</v>
      </c>
      <c r="C139" s="572"/>
      <c r="D139" s="495" t="s">
        <v>247</v>
      </c>
      <c r="E139" s="570" t="s">
        <v>186</v>
      </c>
      <c r="F139" s="570"/>
      <c r="G139" s="582">
        <f>+'PSO WS J Misc Exp'!D59</f>
        <v>246348.28</v>
      </c>
      <c r="H139"/>
      <c r="I139" s="624"/>
      <c r="J139" s="624"/>
      <c r="K139" s="570"/>
      <c r="L139" s="582"/>
      <c r="M139" s="286"/>
      <c r="N139" s="1336"/>
      <c r="O139" s="570"/>
    </row>
    <row r="140" spans="1:15">
      <c r="B140" s="571">
        <f t="shared" si="7"/>
        <v>75</v>
      </c>
      <c r="C140" s="572"/>
      <c r="D140" s="495" t="s">
        <v>402</v>
      </c>
      <c r="E140" s="570" t="s">
        <v>187</v>
      </c>
      <c r="F140" s="570"/>
      <c r="G140" s="582">
        <f>+'PSO WS J Misc Exp'!D71</f>
        <v>18423986.911999993</v>
      </c>
      <c r="H140"/>
      <c r="I140" s="624"/>
      <c r="J140" s="624"/>
      <c r="K140" s="570"/>
      <c r="L140" s="582"/>
      <c r="M140" s="286"/>
      <c r="N140" s="286"/>
      <c r="O140" s="570"/>
    </row>
    <row r="141" spans="1:15" ht="16" thickBot="1">
      <c r="B141" s="571">
        <f>+B140+1</f>
        <v>76</v>
      </c>
      <c r="C141" s="572"/>
      <c r="D141" s="495" t="s">
        <v>787</v>
      </c>
      <c r="E141" s="570" t="str">
        <f>"Worksheet S ln "&amp;'PSO WS S Reg Assets'!B28&amp;" (Note V)"</f>
        <v>Worksheet S ln 6 (Note V)</v>
      </c>
      <c r="F141" s="570"/>
      <c r="G141" s="582">
        <f>+'PSO WS S Reg Assets'!I28</f>
        <v>489914.45</v>
      </c>
      <c r="H141" s="582"/>
      <c r="I141" s="624"/>
      <c r="J141" s="624"/>
      <c r="K141" s="570"/>
      <c r="L141" s="582"/>
      <c r="M141" s="286"/>
      <c r="N141" s="286"/>
      <c r="O141" s="570"/>
    </row>
    <row r="142" spans="1:15">
      <c r="B142" s="571">
        <f>+B141+1</f>
        <v>77</v>
      </c>
      <c r="C142" s="572"/>
      <c r="D142" s="495" t="s">
        <v>248</v>
      </c>
      <c r="E142" s="570" t="str">
        <f>"(ln "&amp;B136&amp;" - sum ln "&amp;B137&amp;"  to ln "&amp;B141&amp;")"</f>
        <v>(ln 71 - sum ln 72  to ln 76)</v>
      </c>
      <c r="F142" s="570"/>
      <c r="G142" s="640">
        <f>G136-SUM(G137:G141)</f>
        <v>36059817.115000024</v>
      </c>
      <c r="H142" s="582"/>
      <c r="I142" s="583" t="s">
        <v>272</v>
      </c>
      <c r="J142" s="584">
        <f>+$L$221</f>
        <v>7.6073912292131618E-2</v>
      </c>
      <c r="K142" s="570"/>
      <c r="L142" s="582">
        <f>+J142*G142</f>
        <v>2743211.3644768186</v>
      </c>
      <c r="M142" s="286"/>
      <c r="N142" s="286"/>
      <c r="O142" s="570"/>
    </row>
    <row r="143" spans="1:15">
      <c r="B143" s="571">
        <f t="shared" si="7"/>
        <v>78</v>
      </c>
      <c r="C143" s="572"/>
      <c r="D143" s="495" t="s">
        <v>334</v>
      </c>
      <c r="E143" s="570" t="str">
        <f>"(ln "&amp;B137&amp;")"</f>
        <v>(ln 72)</v>
      </c>
      <c r="F143" s="570"/>
      <c r="G143" s="582">
        <f>+G137</f>
        <v>1784344.4</v>
      </c>
      <c r="H143" s="582"/>
      <c r="I143" s="598" t="s">
        <v>631</v>
      </c>
      <c r="J143" s="584">
        <f>+$J$63</f>
        <v>0.13141533783267259</v>
      </c>
      <c r="K143" s="570"/>
      <c r="L143" s="582">
        <f>+J143*G143</f>
        <v>234490.22213583745</v>
      </c>
      <c r="M143" s="286"/>
      <c r="N143" s="286"/>
      <c r="O143" s="570"/>
    </row>
    <row r="144" spans="1:15">
      <c r="B144" s="571">
        <f t="shared" si="7"/>
        <v>79</v>
      </c>
      <c r="C144" s="572"/>
      <c r="D144" s="495" t="s">
        <v>359</v>
      </c>
      <c r="E144" s="570" t="str">
        <f>"Worksheet J ln "&amp;'PSO WS J Misc Exp'!A54&amp;".(E) (Note L)"</f>
        <v>Worksheet J ln 40.(E) (Note L)</v>
      </c>
      <c r="F144" s="570"/>
      <c r="G144" s="582">
        <f>+'PSO WS J Misc Exp'!F54</f>
        <v>271887.24999999994</v>
      </c>
      <c r="H144" s="582"/>
      <c r="I144" s="583" t="s">
        <v>260</v>
      </c>
      <c r="J144" s="584">
        <f>+$L$211</f>
        <v>0.80045722396579377</v>
      </c>
      <c r="K144" s="570"/>
      <c r="L144" s="582">
        <f>J144*G144</f>
        <v>217634.11336669372</v>
      </c>
      <c r="M144" s="286"/>
      <c r="N144" s="286"/>
      <c r="O144" s="570"/>
    </row>
    <row r="145" spans="2:15">
      <c r="B145" s="571">
        <f>+B144+1</f>
        <v>80</v>
      </c>
      <c r="C145" s="572"/>
      <c r="D145" s="495" t="s">
        <v>361</v>
      </c>
      <c r="E145" s="570" t="str">
        <f>"Worksheet J ln "&amp;'PSO WS J Misc Exp'!A59&amp;".(E) (Note L)"</f>
        <v>Worksheet J ln 42.(E) (Note L)</v>
      </c>
      <c r="F145" s="570"/>
      <c r="G145" s="2102">
        <f>'PSO WS J Misc Exp'!F59</f>
        <v>0</v>
      </c>
      <c r="H145" s="570"/>
      <c r="I145" s="598" t="s">
        <v>631</v>
      </c>
      <c r="J145" s="584">
        <f>+J63</f>
        <v>0.13141533783267259</v>
      </c>
      <c r="K145" s="570"/>
      <c r="L145" s="2102">
        <f>+J145*G145</f>
        <v>0</v>
      </c>
      <c r="M145" s="286"/>
      <c r="N145" s="286"/>
      <c r="O145" s="570"/>
    </row>
    <row r="146" spans="2:15">
      <c r="B146" s="571">
        <f>+B145+1</f>
        <v>81</v>
      </c>
      <c r="C146" s="572"/>
      <c r="D146" s="495" t="s">
        <v>362</v>
      </c>
      <c r="E146" s="570" t="str">
        <f>"Worksheet J ln "&amp;'PSO WS J Misc Exp'!A71&amp;".(E) (Note L)"</f>
        <v>Worksheet J ln 51.(E) (Note L)</v>
      </c>
      <c r="F146" s="570"/>
      <c r="G146" s="582">
        <f>'PSO WS J Misc Exp'!F71</f>
        <v>15825640</v>
      </c>
      <c r="H146" s="570"/>
      <c r="I146" s="583" t="s">
        <v>269</v>
      </c>
      <c r="J146" s="584">
        <v>1</v>
      </c>
      <c r="K146" s="570"/>
      <c r="L146" s="582">
        <f>J146*G146</f>
        <v>15825640</v>
      </c>
      <c r="M146" s="286"/>
      <c r="N146" s="286"/>
      <c r="O146" s="570"/>
    </row>
    <row r="147" spans="2:15" ht="16" thickBot="1">
      <c r="B147" s="571">
        <f>+B146+1</f>
        <v>82</v>
      </c>
      <c r="C147" s="572"/>
      <c r="D147" s="495" t="s">
        <v>788</v>
      </c>
      <c r="E147" s="570" t="str">
        <f>"Worksheet S ln "&amp;'PSO WS S Reg Assets'!B33&amp;" (Note V)"</f>
        <v>Worksheet S ln 8 (Note V)</v>
      </c>
      <c r="F147" s="570"/>
      <c r="G147" s="582">
        <f>+'PSO WS S Reg Assets'!I33</f>
        <v>489914.45</v>
      </c>
      <c r="H147" s="570"/>
      <c r="I147" s="583" t="s">
        <v>272</v>
      </c>
      <c r="J147" s="584">
        <f>+$L$221</f>
        <v>7.6073912292131618E-2</v>
      </c>
      <c r="K147" s="570"/>
      <c r="L147" s="582">
        <f>J147*G147</f>
        <v>37269.708899947902</v>
      </c>
      <c r="M147" s="286"/>
      <c r="N147" s="286"/>
      <c r="O147" s="570"/>
    </row>
    <row r="148" spans="2:15">
      <c r="B148" s="571">
        <f>+B147+1</f>
        <v>83</v>
      </c>
      <c r="C148" s="572"/>
      <c r="D148" s="495" t="s">
        <v>249</v>
      </c>
      <c r="E148" s="580" t="str">
        <f>"(sum lns "&amp;B142&amp;" to "&amp;B147&amp;")"</f>
        <v>(sum lns 77 to 82)</v>
      </c>
      <c r="F148" s="570"/>
      <c r="G148" s="640">
        <f>SUM(G142:G147)</f>
        <v>54431603.215000026</v>
      </c>
      <c r="H148" s="582"/>
      <c r="I148" s="583"/>
      <c r="J148" s="624"/>
      <c r="K148" s="570"/>
      <c r="L148" s="640">
        <f>SUM(L142:L147)</f>
        <v>19058245.408879299</v>
      </c>
      <c r="M148" s="286"/>
      <c r="N148" s="286"/>
      <c r="O148" s="570"/>
    </row>
    <row r="149" spans="2:15" ht="16" thickBot="1">
      <c r="B149" s="571"/>
      <c r="C149" s="572"/>
      <c r="D149" s="495"/>
      <c r="E149" s="570"/>
      <c r="F149" s="570"/>
      <c r="G149" s="615"/>
      <c r="H149" s="582"/>
      <c r="I149" s="583"/>
      <c r="J149" s="624"/>
      <c r="K149" s="570"/>
      <c r="L149" s="615"/>
      <c r="M149" s="286"/>
      <c r="N149" s="286"/>
      <c r="O149" s="570"/>
    </row>
    <row r="150" spans="2:15">
      <c r="B150" s="571">
        <f>+B148+1</f>
        <v>84</v>
      </c>
      <c r="C150" s="572"/>
      <c r="D150" s="495" t="s">
        <v>250</v>
      </c>
      <c r="E150" s="570" t="str">
        <f>"(ln "&amp;B134&amp;" + ln "&amp;B148&amp;")"</f>
        <v>(ln 70 + ln 83)</v>
      </c>
      <c r="F150" s="570"/>
      <c r="G150" s="582">
        <f>G134+G148</f>
        <v>72635249.73300004</v>
      </c>
      <c r="H150" s="582"/>
      <c r="I150" s="583"/>
      <c r="J150" s="630"/>
      <c r="K150" s="570"/>
      <c r="L150" s="582">
        <f>+L148+L134</f>
        <v>33629485.766732171</v>
      </c>
      <c r="M150" s="286"/>
      <c r="N150" s="286"/>
      <c r="O150" s="570"/>
    </row>
    <row r="151" spans="2:15">
      <c r="B151" s="571"/>
      <c r="C151" s="572"/>
      <c r="D151" s="495"/>
      <c r="E151" s="570"/>
      <c r="F151" s="570"/>
      <c r="G151" s="582"/>
      <c r="H151" s="570"/>
      <c r="I151" s="583"/>
      <c r="J151" s="624"/>
      <c r="K151" s="570"/>
      <c r="L151" s="582"/>
      <c r="M151" s="286"/>
      <c r="N151" s="286"/>
      <c r="O151" s="570"/>
    </row>
    <row r="152" spans="2:15">
      <c r="B152" s="571">
        <f>+B150+1</f>
        <v>85</v>
      </c>
      <c r="C152" s="572"/>
      <c r="D152" s="495" t="s">
        <v>253</v>
      </c>
      <c r="E152" s="583"/>
      <c r="F152" s="583"/>
      <c r="G152" s="582"/>
      <c r="H152" s="570"/>
      <c r="I152" s="583"/>
      <c r="J152" s="570"/>
      <c r="K152" s="570"/>
      <c r="L152" s="582"/>
      <c r="M152" s="286"/>
      <c r="N152" s="286"/>
      <c r="O152" s="570"/>
    </row>
    <row r="153" spans="2:15">
      <c r="B153" s="571">
        <f t="shared" ref="B153:B156" si="8">+B152+1</f>
        <v>86</v>
      </c>
      <c r="C153" s="572"/>
      <c r="D153" s="610" t="s">
        <v>268</v>
      </c>
      <c r="E153" s="580" t="s">
        <v>923</v>
      </c>
      <c r="F153" s="642"/>
      <c r="G153" s="638">
        <v>34344533</v>
      </c>
      <c r="H153"/>
      <c r="I153" s="612" t="s">
        <v>260</v>
      </c>
      <c r="J153" s="584">
        <f>+L211</f>
        <v>0.80045722396579377</v>
      </c>
      <c r="K153" s="570"/>
      <c r="L153" s="614">
        <f>+G153*J153</f>
        <v>27491329.543581594</v>
      </c>
      <c r="M153" s="286"/>
      <c r="N153" s="286"/>
      <c r="O153" s="570"/>
    </row>
    <row r="154" spans="2:15">
      <c r="B154" s="571">
        <f>+B153+1</f>
        <v>87</v>
      </c>
      <c r="C154" s="572"/>
      <c r="D154" s="495" t="s">
        <v>276</v>
      </c>
      <c r="E154" s="642" t="s">
        <v>924</v>
      </c>
      <c r="F154" s="570"/>
      <c r="G154" s="638">
        <v>13589884</v>
      </c>
      <c r="H154"/>
      <c r="I154" s="583" t="s">
        <v>272</v>
      </c>
      <c r="J154" s="584">
        <f>+$L$221</f>
        <v>7.6073912292131618E-2</v>
      </c>
      <c r="K154" s="570"/>
      <c r="L154" s="582">
        <f>+J154*G154</f>
        <v>1033835.6434762428</v>
      </c>
      <c r="M154" s="286"/>
      <c r="N154" s="286"/>
      <c r="O154" s="570"/>
    </row>
    <row r="155" spans="2:15" ht="16" thickBot="1">
      <c r="B155" s="571">
        <f t="shared" si="8"/>
        <v>88</v>
      </c>
      <c r="C155" s="572"/>
      <c r="D155" s="495" t="s">
        <v>277</v>
      </c>
      <c r="E155" s="642" t="s">
        <v>688</v>
      </c>
      <c r="F155" s="570"/>
      <c r="G155" s="638">
        <v>20883984</v>
      </c>
      <c r="H155"/>
      <c r="I155" s="583" t="s">
        <v>272</v>
      </c>
      <c r="J155" s="584">
        <f>+L221</f>
        <v>7.6073912292131618E-2</v>
      </c>
      <c r="K155" s="570"/>
      <c r="L155" s="615">
        <f>+J155*G155</f>
        <v>1588726.36712628</v>
      </c>
      <c r="M155" s="286"/>
      <c r="N155" s="286"/>
      <c r="O155" s="570"/>
    </row>
    <row r="156" spans="2:15">
      <c r="B156" s="571">
        <f t="shared" si="8"/>
        <v>89</v>
      </c>
      <c r="C156" s="572"/>
      <c r="D156" s="495" t="s">
        <v>387</v>
      </c>
      <c r="E156" s="580" t="str">
        <f>"(sum lns "&amp;B153&amp;" to "&amp;B155&amp;")"</f>
        <v>(sum lns 86 to 88)</v>
      </c>
      <c r="F156" s="570"/>
      <c r="G156" s="640">
        <f>SUM(G153:G155)</f>
        <v>68818401</v>
      </c>
      <c r="H156"/>
      <c r="I156" s="583"/>
      <c r="J156" s="570"/>
      <c r="K156" s="570"/>
      <c r="L156" s="582">
        <f>SUM(L153:L155)</f>
        <v>30113891.554184116</v>
      </c>
      <c r="M156" s="286"/>
      <c r="N156" s="286"/>
      <c r="O156" s="570"/>
    </row>
    <row r="157" spans="2:15">
      <c r="B157" s="571"/>
      <c r="C157" s="572"/>
      <c r="D157" s="495"/>
      <c r="E157" s="580"/>
      <c r="F157" s="570"/>
      <c r="G157" s="582"/>
      <c r="H157" s="570"/>
      <c r="I157" s="583"/>
      <c r="J157" s="570"/>
      <c r="K157" s="570"/>
      <c r="L157" s="582"/>
      <c r="M157" s="286"/>
      <c r="N157" s="286"/>
      <c r="O157" s="570"/>
    </row>
    <row r="158" spans="2:15">
      <c r="B158" s="571">
        <f>+B156+1</f>
        <v>90</v>
      </c>
      <c r="C158" s="572"/>
      <c r="D158" s="495" t="s">
        <v>212</v>
      </c>
      <c r="E158" s="570" t="s">
        <v>415</v>
      </c>
      <c r="G158" s="582"/>
      <c r="H158" s="570"/>
      <c r="I158" s="583"/>
      <c r="J158" s="570"/>
      <c r="K158" s="570"/>
      <c r="L158" s="582"/>
      <c r="M158" s="286"/>
      <c r="N158" s="286"/>
      <c r="O158" s="570"/>
    </row>
    <row r="159" spans="2:15">
      <c r="B159" s="571">
        <f t="shared" ref="B159:B165" si="9">+B158+1</f>
        <v>91</v>
      </c>
      <c r="C159" s="572"/>
      <c r="D159" s="495" t="s">
        <v>278</v>
      </c>
      <c r="G159" s="582"/>
      <c r="H159" s="570"/>
      <c r="I159" s="583"/>
      <c r="K159" s="570"/>
      <c r="L159" s="582"/>
      <c r="M159" s="286"/>
      <c r="N159" s="286"/>
      <c r="O159" s="570"/>
    </row>
    <row r="160" spans="2:15">
      <c r="B160" s="571">
        <f t="shared" si="9"/>
        <v>92</v>
      </c>
      <c r="C160" s="572"/>
      <c r="D160" s="495" t="s">
        <v>279</v>
      </c>
      <c r="E160" s="570" t="s">
        <v>188</v>
      </c>
      <c r="F160" s="570"/>
      <c r="G160" s="582">
        <f>+'PSO WS L Other Taxes'!I46</f>
        <v>5339152</v>
      </c>
      <c r="H160" s="582"/>
      <c r="I160" s="583" t="s">
        <v>272</v>
      </c>
      <c r="J160" s="584">
        <f>+L221</f>
        <v>7.6073912292131618E-2</v>
      </c>
      <c r="K160" s="570"/>
      <c r="L160" s="582">
        <f>+J160*G160</f>
        <v>406170.18096235913</v>
      </c>
      <c r="M160" s="286"/>
      <c r="N160" s="286"/>
      <c r="O160" s="570"/>
    </row>
    <row r="161" spans="2:15">
      <c r="B161" s="571">
        <f t="shared" si="9"/>
        <v>93</v>
      </c>
      <c r="C161" s="572"/>
      <c r="D161" s="495" t="s">
        <v>280</v>
      </c>
      <c r="E161" s="570" t="s">
        <v>254</v>
      </c>
      <c r="F161" s="570"/>
      <c r="G161" s="582"/>
      <c r="H161" s="582"/>
      <c r="I161" s="583"/>
      <c r="K161" s="570"/>
      <c r="L161" s="582"/>
      <c r="M161" s="286"/>
      <c r="N161" s="286"/>
      <c r="O161" s="570"/>
    </row>
    <row r="162" spans="2:15">
      <c r="B162" s="571">
        <f t="shared" si="9"/>
        <v>94</v>
      </c>
      <c r="C162" s="572"/>
      <c r="D162" s="495" t="s">
        <v>281</v>
      </c>
      <c r="E162" s="570" t="s">
        <v>189</v>
      </c>
      <c r="F162" s="570"/>
      <c r="G162" s="582">
        <f>+'PSO WS L Other Taxes'!G46</f>
        <v>64417857</v>
      </c>
      <c r="H162" s="582"/>
      <c r="I162" s="583" t="s">
        <v>631</v>
      </c>
      <c r="J162" s="584">
        <f>+J63</f>
        <v>0.13141533783267259</v>
      </c>
      <c r="K162" s="570"/>
      <c r="L162" s="582">
        <f>+G162*J162</f>
        <v>8465494.4401117936</v>
      </c>
      <c r="M162" s="286"/>
      <c r="N162" s="286"/>
      <c r="O162" s="570"/>
    </row>
    <row r="163" spans="2:15">
      <c r="B163" s="571">
        <f t="shared" si="9"/>
        <v>95</v>
      </c>
      <c r="C163" s="572"/>
      <c r="D163" s="495" t="s">
        <v>876</v>
      </c>
      <c r="E163" s="570" t="s">
        <v>190</v>
      </c>
      <c r="F163" s="570"/>
      <c r="G163" s="582">
        <f>+'PSO WS L Other Taxes'!M46</f>
        <v>7637508</v>
      </c>
      <c r="H163" s="286"/>
      <c r="I163" s="583" t="s">
        <v>267</v>
      </c>
      <c r="J163" s="584">
        <v>0</v>
      </c>
      <c r="K163" s="570"/>
      <c r="L163" s="2102">
        <f>+J163*G163</f>
        <v>0</v>
      </c>
      <c r="M163" s="286"/>
      <c r="N163" s="286"/>
      <c r="O163" s="570"/>
    </row>
    <row r="164" spans="2:15" ht="16" thickBot="1">
      <c r="B164" s="571">
        <f t="shared" si="9"/>
        <v>96</v>
      </c>
      <c r="C164" s="572"/>
      <c r="D164" s="495" t="s">
        <v>318</v>
      </c>
      <c r="E164" s="570" t="s">
        <v>191</v>
      </c>
      <c r="F164" s="570"/>
      <c r="G164" s="615">
        <f>+'PSO WS L Other Taxes'!K46</f>
        <v>20000</v>
      </c>
      <c r="H164" s="286"/>
      <c r="I164" s="583" t="s">
        <v>631</v>
      </c>
      <c r="J164" s="584">
        <f>+J63</f>
        <v>0.13141533783267259</v>
      </c>
      <c r="K164" s="570"/>
      <c r="L164" s="615">
        <f>+J164*G164</f>
        <v>2628.3067566534519</v>
      </c>
      <c r="M164" s="286"/>
      <c r="N164" s="286"/>
      <c r="O164" s="570"/>
    </row>
    <row r="165" spans="2:15">
      <c r="B165" s="571">
        <f t="shared" si="9"/>
        <v>97</v>
      </c>
      <c r="C165" s="572"/>
      <c r="D165" s="495" t="s">
        <v>213</v>
      </c>
      <c r="E165" s="580" t="str">
        <f>"(sum lns "&amp;B160&amp;" to "&amp;B164&amp;")"</f>
        <v>(sum lns 92 to 96)</v>
      </c>
      <c r="F165" s="570"/>
      <c r="G165" s="582">
        <f>SUM(G160:G164)</f>
        <v>77414517</v>
      </c>
      <c r="H165" s="570"/>
      <c r="I165" s="583"/>
      <c r="J165" s="643"/>
      <c r="K165" s="570"/>
      <c r="L165" s="582">
        <f>SUM(L160:L164)</f>
        <v>8874292.927830806</v>
      </c>
      <c r="M165" s="286"/>
      <c r="N165" s="286"/>
      <c r="O165" s="570"/>
    </row>
    <row r="166" spans="2:15">
      <c r="B166" s="571"/>
      <c r="C166" s="572"/>
      <c r="D166" s="495"/>
      <c r="E166" s="570"/>
      <c r="F166" s="570"/>
      <c r="G166" s="570"/>
      <c r="H166" s="570"/>
      <c r="I166" s="583"/>
      <c r="J166" s="643"/>
      <c r="K166" s="570"/>
      <c r="L166" s="570"/>
      <c r="M166" s="286"/>
      <c r="N166" s="286"/>
      <c r="O166" s="570"/>
    </row>
    <row r="167" spans="2:15">
      <c r="B167" s="571">
        <f>+B165+1</f>
        <v>98</v>
      </c>
      <c r="C167" s="572"/>
      <c r="D167" s="495" t="s">
        <v>405</v>
      </c>
      <c r="E167" s="570" t="s">
        <v>414</v>
      </c>
      <c r="F167" s="644"/>
      <c r="G167" s="570"/>
      <c r="H167" s="286"/>
      <c r="I167" s="633"/>
      <c r="K167" s="570"/>
      <c r="M167" s="286"/>
      <c r="N167" s="286"/>
      <c r="O167" s="570"/>
    </row>
    <row r="168" spans="2:15">
      <c r="B168" s="571">
        <f t="shared" ref="B168:B175" si="10">+B167+1</f>
        <v>99</v>
      </c>
      <c r="C168" s="572"/>
      <c r="D168" s="645" t="s">
        <v>406</v>
      </c>
      <c r="E168" s="570"/>
      <c r="F168" s="646"/>
      <c r="G168" s="647">
        <f>IF(F299&gt;0,1-(((1-F300)*(1-F299))/(1-F300*F299*F301)),0)</f>
        <v>0.24025699999999994</v>
      </c>
      <c r="H168" s="648"/>
      <c r="I168" s="633"/>
      <c r="J168" s="648"/>
      <c r="K168" s="570"/>
      <c r="M168" s="286"/>
      <c r="N168" s="286"/>
      <c r="O168" s="570"/>
    </row>
    <row r="169" spans="2:15">
      <c r="B169" s="571">
        <f t="shared" si="10"/>
        <v>100</v>
      </c>
      <c r="C169" s="572"/>
      <c r="D169" s="497" t="s">
        <v>407</v>
      </c>
      <c r="E169" s="570"/>
      <c r="F169" s="646"/>
      <c r="G169" s="647">
        <f>IF(L235&gt;0,($G168/(1-$G168))*(1-$L235/$L238),0)</f>
        <v>0.22976983242616258</v>
      </c>
      <c r="H169" s="648"/>
      <c r="I169" s="633"/>
      <c r="K169" s="570"/>
      <c r="M169" s="286"/>
      <c r="N169" s="286"/>
      <c r="O169" s="570"/>
    </row>
    <row r="170" spans="2:15">
      <c r="B170" s="571">
        <f t="shared" si="10"/>
        <v>101</v>
      </c>
      <c r="C170" s="572"/>
      <c r="D170" s="495" t="str">
        <f>"       where WCLTD=(ln "&amp;B235&amp;") and WACC = (ln "&amp;B238&amp;")"</f>
        <v xml:space="preserve">       where WCLTD=(ln 141) and WACC = (ln 144)</v>
      </c>
      <c r="E170" s="570"/>
      <c r="F170" s="644"/>
      <c r="G170" s="570"/>
      <c r="H170" s="286"/>
      <c r="I170" s="633"/>
      <c r="J170" s="649"/>
      <c r="K170" s="570"/>
      <c r="L170" s="650"/>
      <c r="M170" s="286"/>
      <c r="N170" s="286"/>
      <c r="O170" s="570"/>
    </row>
    <row r="171" spans="2:15">
      <c r="B171" s="571">
        <f t="shared" si="10"/>
        <v>102</v>
      </c>
      <c r="C171" s="572"/>
      <c r="D171" s="495" t="s">
        <v>413</v>
      </c>
      <c r="E171" s="651"/>
      <c r="F171" s="646"/>
      <c r="G171" s="570"/>
      <c r="H171" s="286"/>
      <c r="I171" s="633"/>
      <c r="J171" s="649"/>
      <c r="K171" s="570"/>
      <c r="M171" s="286"/>
      <c r="N171" s="286"/>
      <c r="O171" s="570"/>
    </row>
    <row r="172" spans="2:15">
      <c r="B172" s="571">
        <f t="shared" si="10"/>
        <v>103</v>
      </c>
      <c r="C172" s="572"/>
      <c r="D172" s="645" t="str">
        <f>"      GRCF=1 / (1 - T)  = (from ln "&amp;B168&amp;")"</f>
        <v xml:space="preserve">      GRCF=1 / (1 - T)  = (from ln 99)</v>
      </c>
      <c r="E172" s="644"/>
      <c r="F172" s="644"/>
      <c r="G172" s="652">
        <f>IF(G168&gt;0,1/(1-G168),0)</f>
        <v>1.3162345687949739</v>
      </c>
      <c r="H172" s="286"/>
      <c r="I172" s="598"/>
      <c r="J172" s="653"/>
      <c r="K172" s="582"/>
      <c r="L172" s="597"/>
      <c r="M172" s="286"/>
      <c r="N172" s="286"/>
      <c r="O172" s="570"/>
    </row>
    <row r="173" spans="2:15">
      <c r="B173" s="571">
        <f t="shared" si="10"/>
        <v>104</v>
      </c>
      <c r="C173" s="572"/>
      <c r="D173" s="495" t="s">
        <v>408</v>
      </c>
      <c r="E173" s="624" t="s">
        <v>179</v>
      </c>
      <c r="F173" s="644"/>
      <c r="G173" s="638">
        <v>989357</v>
      </c>
      <c r="H173"/>
      <c r="I173" s="598"/>
      <c r="J173" s="654"/>
      <c r="K173" s="582"/>
      <c r="M173" s="286"/>
      <c r="N173" s="286"/>
      <c r="O173" s="570"/>
    </row>
    <row r="174" spans="2:15">
      <c r="B174" s="571">
        <f t="shared" si="10"/>
        <v>105</v>
      </c>
      <c r="C174" s="572"/>
      <c r="D174" s="497" t="s">
        <v>503</v>
      </c>
      <c r="E174" s="624" t="str">
        <f xml:space="preserve"> "Company Records (Note O) and WS C-4 Ln "&amp;'PSO WS C-4 Excess FIT'!A53</f>
        <v>Company Records (Note O) and WS C-4 Ln 24</v>
      </c>
      <c r="F174" s="644"/>
      <c r="G174" s="638">
        <v>-5928403.8089818135</v>
      </c>
      <c r="H174"/>
      <c r="I174" s="598" t="s">
        <v>269</v>
      </c>
      <c r="J174" s="654"/>
      <c r="K174" s="639"/>
      <c r="L174" s="582">
        <f>+'PSO WS C-4 Excess FIT'!D53</f>
        <v>-1103064.9720288145</v>
      </c>
      <c r="M174" s="286"/>
      <c r="N174" s="286"/>
      <c r="O174" s="570"/>
    </row>
    <row r="175" spans="2:15">
      <c r="B175" s="571">
        <f t="shared" si="10"/>
        <v>106</v>
      </c>
      <c r="C175" s="572"/>
      <c r="D175" s="497" t="s">
        <v>606</v>
      </c>
      <c r="E175" s="624" t="s">
        <v>687</v>
      </c>
      <c r="F175" s="644"/>
      <c r="G175" s="638">
        <v>480362.51759207982</v>
      </c>
      <c r="H175"/>
      <c r="I175" s="598" t="s">
        <v>269</v>
      </c>
      <c r="J175" s="654"/>
      <c r="K175" s="639"/>
      <c r="L175" s="638">
        <v>76452.715037599977</v>
      </c>
      <c r="M175" s="582"/>
      <c r="N175" s="286"/>
      <c r="O175" s="570"/>
    </row>
    <row r="176" spans="2:15">
      <c r="B176" s="571"/>
      <c r="C176" s="572"/>
      <c r="D176" s="495"/>
      <c r="E176" s="570"/>
      <c r="F176" s="646"/>
      <c r="G176" s="582"/>
      <c r="H176" s="286"/>
      <c r="I176" s="598"/>
      <c r="J176" s="650"/>
      <c r="K176" s="582"/>
      <c r="M176" s="286"/>
      <c r="N176" s="286"/>
      <c r="O176" s="570"/>
    </row>
    <row r="177" spans="2:15">
      <c r="B177" s="571">
        <f>+B175+1</f>
        <v>107</v>
      </c>
      <c r="C177" s="572"/>
      <c r="D177" s="645" t="s">
        <v>421</v>
      </c>
      <c r="E177" s="655" t="str">
        <f>"(ln "&amp;B169&amp;" * ln "&amp;B184&amp;")"</f>
        <v>(ln 100 * ln 112)</v>
      </c>
      <c r="F177" s="656"/>
      <c r="G177" s="582">
        <f>+G169*G184</f>
        <v>77990160.889674485</v>
      </c>
      <c r="H177" s="286"/>
      <c r="I177" s="598"/>
      <c r="J177" s="650"/>
      <c r="K177" s="582"/>
      <c r="L177" s="582">
        <f>+L184*G169</f>
        <v>11870951.266328992</v>
      </c>
      <c r="M177" s="286"/>
      <c r="N177" s="286"/>
      <c r="O177" s="570"/>
    </row>
    <row r="178" spans="2:15">
      <c r="B178" s="571">
        <f>+B177+1</f>
        <v>108</v>
      </c>
      <c r="C178" s="572"/>
      <c r="D178" s="497" t="s">
        <v>422</v>
      </c>
      <c r="E178" s="655" t="str">
        <f>"(ln "&amp;B172&amp;" * ln "&amp;B173&amp;")"</f>
        <v>(ln 103 * ln 104)</v>
      </c>
      <c r="F178" s="655"/>
      <c r="G178" s="582">
        <f>G172*G173</f>
        <v>1302225.8842792891</v>
      </c>
      <c r="H178" s="286"/>
      <c r="I178" s="572" t="s">
        <v>631</v>
      </c>
      <c r="J178" s="584">
        <f>+J63</f>
        <v>0.13141533783267259</v>
      </c>
      <c r="K178" s="582"/>
      <c r="L178" s="582">
        <f>+G178*J178</f>
        <v>171132.45451701357</v>
      </c>
      <c r="M178" s="286"/>
      <c r="N178" s="286"/>
      <c r="O178" s="570"/>
    </row>
    <row r="179" spans="2:15">
      <c r="B179" s="571">
        <f>+B178+1</f>
        <v>109</v>
      </c>
      <c r="C179" s="572"/>
      <c r="D179" s="497" t="s">
        <v>503</v>
      </c>
      <c r="E179" s="655" t="str">
        <f>"(ln "&amp;B172&amp;" * ln "&amp;B174&amp;")"</f>
        <v>(ln 103 * ln 105)</v>
      </c>
      <c r="F179" s="655"/>
      <c r="G179" s="582">
        <f>G172*G174</f>
        <v>-7803170.0311576584</v>
      </c>
      <c r="H179" s="286"/>
      <c r="I179" s="598" t="s">
        <v>269</v>
      </c>
      <c r="J179" s="584"/>
      <c r="K179" s="582"/>
      <c r="L179" s="582">
        <f>G172*L174</f>
        <v>-1451892.2478111866</v>
      </c>
      <c r="M179" s="286"/>
      <c r="N179" s="286"/>
      <c r="O179" s="570"/>
    </row>
    <row r="180" spans="2:15">
      <c r="B180" s="571">
        <f>+B179+1</f>
        <v>110</v>
      </c>
      <c r="C180" s="572"/>
      <c r="D180" s="497" t="s">
        <v>606</v>
      </c>
      <c r="E180" s="655" t="str">
        <f>"(ln "&amp;B172&amp;" * ln "&amp;B175&amp;")"</f>
        <v>(ln 103 * ln 106)</v>
      </c>
      <c r="F180" s="655"/>
      <c r="G180" s="582">
        <f>G172*G175</f>
        <v>632269.75120807928</v>
      </c>
      <c r="H180" s="286"/>
      <c r="I180" s="598" t="s">
        <v>269</v>
      </c>
      <c r="J180" s="584"/>
      <c r="K180" s="582"/>
      <c r="L180" s="582">
        <f>G172*L175</f>
        <v>100629.70641072042</v>
      </c>
      <c r="M180" s="286"/>
      <c r="N180" s="286"/>
      <c r="O180" s="570"/>
    </row>
    <row r="181" spans="2:15">
      <c r="B181" s="571"/>
      <c r="C181" s="572"/>
      <c r="E181" s="655"/>
      <c r="F181" s="655"/>
      <c r="G181" s="582"/>
      <c r="H181" s="286"/>
      <c r="I181" s="657"/>
      <c r="J181" s="584"/>
      <c r="K181" s="582"/>
      <c r="L181" s="582"/>
      <c r="M181" s="286"/>
      <c r="N181" s="286"/>
      <c r="O181" s="570"/>
    </row>
    <row r="182" spans="2:15">
      <c r="B182" s="571">
        <f>+B180+1</f>
        <v>111</v>
      </c>
      <c r="C182" s="572"/>
      <c r="D182" s="645" t="s">
        <v>214</v>
      </c>
      <c r="E182" s="570" t="str">
        <f>"(sum lns "&amp;B177&amp;" to "&amp;B180&amp;")"</f>
        <v>(sum lns 107 to 110)</v>
      </c>
      <c r="F182" s="655"/>
      <c r="G182" s="657">
        <f>SUM(G177:G180)</f>
        <v>72121486.494004205</v>
      </c>
      <c r="H182" s="286"/>
      <c r="I182" s="598" t="s">
        <v>254</v>
      </c>
      <c r="J182" s="658"/>
      <c r="K182" s="582"/>
      <c r="L182" s="582">
        <f>SUM(L177:L180)</f>
        <v>10690821.179445541</v>
      </c>
      <c r="M182" s="286"/>
      <c r="N182" s="286"/>
      <c r="O182" s="570"/>
    </row>
    <row r="183" spans="2:15">
      <c r="B183" s="571"/>
      <c r="C183" s="572"/>
      <c r="D183" s="495"/>
      <c r="E183" s="570"/>
      <c r="F183" s="570"/>
      <c r="G183" s="570"/>
      <c r="H183" s="570"/>
      <c r="I183" s="583"/>
      <c r="J183" s="643"/>
      <c r="K183" s="570"/>
      <c r="L183" s="570"/>
      <c r="M183" s="286"/>
      <c r="N183" s="286"/>
      <c r="O183" s="570"/>
    </row>
    <row r="184" spans="2:15">
      <c r="B184" s="571">
        <f>+B182+1</f>
        <v>112</v>
      </c>
      <c r="C184" s="572"/>
      <c r="D184" s="645" t="s">
        <v>335</v>
      </c>
      <c r="E184" s="645" t="str">
        <f>"(ln "&amp;B113&amp;" * ln "&amp;B238&amp;")"</f>
        <v>(ln 63 * ln 144)</v>
      </c>
      <c r="F184" s="628"/>
      <c r="G184" s="582">
        <f>+$L238*G113</f>
        <v>339427330.6733464</v>
      </c>
      <c r="H184" s="570"/>
      <c r="I184" s="598"/>
      <c r="J184" s="582"/>
      <c r="K184" s="582"/>
      <c r="L184" s="582">
        <f>+L238*L113</f>
        <v>51664533.768347368</v>
      </c>
      <c r="M184" s="286"/>
      <c r="N184" s="286"/>
    </row>
    <row r="185" spans="2:15">
      <c r="B185" s="571"/>
      <c r="C185" s="572"/>
      <c r="D185" s="645"/>
      <c r="G185" s="582"/>
      <c r="H185" s="582"/>
      <c r="I185" s="598"/>
      <c r="J185" s="598"/>
      <c r="K185" s="582"/>
      <c r="L185" s="582"/>
      <c r="M185" s="286"/>
      <c r="N185" s="286"/>
    </row>
    <row r="186" spans="2:15">
      <c r="B186" s="571">
        <f>+B184+1</f>
        <v>113</v>
      </c>
      <c r="C186" s="572"/>
      <c r="D186" s="659" t="str">
        <f>"INTEREST ON IPP CONTRIBUTION FOR CONST. (Note E) (Worksheet E, ln "&amp;'PSO WS E IPP Credits'!A12&amp;")"</f>
        <v>INTEREST ON IPP CONTRIBUTION FOR CONST. (Note E) (Worksheet E, ln 2)</v>
      </c>
      <c r="F186" s="642"/>
      <c r="G186" s="2102">
        <f>'PSO WS E IPP Credits'!C12</f>
        <v>0</v>
      </c>
      <c r="H186" s="582"/>
      <c r="I186" s="631" t="s">
        <v>269</v>
      </c>
      <c r="J186" s="584">
        <v>1</v>
      </c>
      <c r="K186" s="614"/>
      <c r="L186" s="2102">
        <f>+J186*G186</f>
        <v>0</v>
      </c>
      <c r="M186" s="286"/>
      <c r="N186" s="286"/>
    </row>
    <row r="187" spans="2:15" ht="16" thickBot="1">
      <c r="B187" s="571"/>
      <c r="C187" s="572"/>
      <c r="D187" s="495"/>
      <c r="G187" s="615"/>
      <c r="H187" s="660"/>
      <c r="I187" s="598"/>
      <c r="J187" s="598"/>
      <c r="K187" s="582"/>
      <c r="L187" s="615"/>
      <c r="M187" s="286"/>
      <c r="N187" s="286"/>
    </row>
    <row r="188" spans="2:15" ht="16" thickBot="1">
      <c r="B188" s="571">
        <f>+B186+1</f>
        <v>114</v>
      </c>
      <c r="C188" s="572"/>
      <c r="D188" s="495" t="s">
        <v>144</v>
      </c>
      <c r="E188" s="661"/>
      <c r="F188" s="661"/>
      <c r="G188" s="632">
        <f>G150+G156+G165+G182+G184+G186</f>
        <v>630416984.90035057</v>
      </c>
      <c r="H188" s="582"/>
      <c r="I188" s="598"/>
      <c r="J188" s="630"/>
      <c r="K188" s="582"/>
      <c r="L188" s="632">
        <f>L150+L156+L165+L182+L184+L186</f>
        <v>134973025.19654</v>
      </c>
      <c r="M188" s="286"/>
      <c r="N188" s="286"/>
    </row>
    <row r="189" spans="2:15" ht="16" thickTop="1">
      <c r="B189" s="571">
        <f>+B188+1</f>
        <v>115</v>
      </c>
      <c r="C189" s="572"/>
      <c r="D189" s="495" t="str">
        <f>"    (sum lns "&amp;B150&amp;", "&amp;B156&amp;", "&amp;B165&amp;", "&amp;B182&amp;", "&amp;B184&amp;", "&amp;B186&amp;")"</f>
        <v xml:space="preserve">    (sum lns 84, 89, 97, 111, 112, 113)</v>
      </c>
      <c r="E189" s="661"/>
      <c r="F189" s="661"/>
      <c r="G189" s="582"/>
      <c r="H189" s="582"/>
      <c r="I189" s="582"/>
      <c r="J189" s="630"/>
      <c r="K189" s="582"/>
      <c r="L189" s="582"/>
      <c r="M189" s="286"/>
      <c r="N189" s="286"/>
    </row>
    <row r="190" spans="2:15">
      <c r="B190" s="571"/>
      <c r="C190" s="572"/>
      <c r="D190" s="495"/>
      <c r="E190" s="661"/>
      <c r="F190" s="661"/>
      <c r="G190" s="582"/>
      <c r="H190" s="582"/>
      <c r="I190" s="582"/>
      <c r="J190" s="630"/>
      <c r="K190" s="582"/>
      <c r="L190" s="582"/>
      <c r="M190" s="286"/>
      <c r="N190" s="286"/>
    </row>
    <row r="191" spans="2:15">
      <c r="B191" s="571">
        <f>+B189+1</f>
        <v>116</v>
      </c>
      <c r="C191" s="572"/>
      <c r="D191" s="495" t="s">
        <v>412</v>
      </c>
      <c r="F191" s="661"/>
      <c r="G191" s="2101">
        <f>+'PSO WS K State Taxes'!I48</f>
        <v>0</v>
      </c>
      <c r="H191" s="582"/>
      <c r="I191" s="598" t="s">
        <v>269</v>
      </c>
      <c r="J191" s="630"/>
      <c r="K191" s="582"/>
      <c r="L191" s="2101">
        <f>+'PSO WS K State Taxes'!K48</f>
        <v>0</v>
      </c>
      <c r="M191" s="286"/>
      <c r="N191" s="286"/>
    </row>
    <row r="192" spans="2:15">
      <c r="B192" s="571"/>
      <c r="C192" s="286"/>
      <c r="D192" s="286"/>
      <c r="E192" s="286"/>
      <c r="F192" s="286"/>
      <c r="G192" s="286"/>
      <c r="H192" s="286"/>
      <c r="I192" s="505"/>
      <c r="J192" s="619"/>
      <c r="K192" s="505"/>
      <c r="M192" s="286"/>
      <c r="N192" s="286"/>
    </row>
    <row r="193" spans="2:16" ht="16" thickBot="1">
      <c r="B193" s="571">
        <f>+B191+1</f>
        <v>117</v>
      </c>
      <c r="C193" s="572"/>
      <c r="D193" s="497" t="s">
        <v>676</v>
      </c>
      <c r="E193" s="570" t="str">
        <f>"(ln "&amp;B188&amp;" + "&amp;B191&amp;")"</f>
        <v>(ln 114 + 116)</v>
      </c>
      <c r="G193" s="662">
        <f>+G188+G191</f>
        <v>630416984.90035057</v>
      </c>
      <c r="J193" s="630"/>
      <c r="L193" s="662">
        <f>+L188+L191</f>
        <v>134973025.19654</v>
      </c>
      <c r="M193" s="1337"/>
      <c r="N193" s="286"/>
    </row>
    <row r="194" spans="2:16" ht="16" thickTop="1">
      <c r="B194" s="571"/>
      <c r="C194" s="572"/>
      <c r="D194" s="495"/>
      <c r="F194" s="579"/>
      <c r="M194" s="1350"/>
      <c r="N194" s="286"/>
    </row>
    <row r="195" spans="2:16">
      <c r="B195" s="571"/>
      <c r="C195" s="572"/>
      <c r="F195" s="579"/>
      <c r="M195" s="286"/>
      <c r="N195" s="286"/>
    </row>
    <row r="196" spans="2:16">
      <c r="B196" s="571"/>
      <c r="C196" s="572"/>
      <c r="D196" s="495"/>
      <c r="F196" s="633" t="str">
        <f>F116</f>
        <v xml:space="preserve">AEP West SPP Member Operating Companies </v>
      </c>
      <c r="M196" s="286"/>
      <c r="N196" s="286"/>
    </row>
    <row r="197" spans="2:16">
      <c r="B197" s="571"/>
      <c r="C197" s="572"/>
      <c r="D197" s="495"/>
      <c r="F197" s="633" t="str">
        <f>F117</f>
        <v>Transmission Cost of Service Formula Rate</v>
      </c>
      <c r="M197" s="286"/>
      <c r="N197" s="286"/>
    </row>
    <row r="198" spans="2:16">
      <c r="B198" s="497"/>
      <c r="C198" s="572"/>
      <c r="F198" s="633" t="str">
        <f>F118</f>
        <v>Utilizing Actual / Projected Cost Data for the 2024 Rate Year</v>
      </c>
      <c r="M198" s="286"/>
      <c r="N198" s="286"/>
    </row>
    <row r="199" spans="2:16">
      <c r="B199" s="571"/>
      <c r="C199" s="572"/>
      <c r="E199" s="633"/>
      <c r="F199" s="633"/>
      <c r="G199" s="633"/>
      <c r="H199" s="633"/>
      <c r="I199" s="633"/>
      <c r="J199" s="633"/>
      <c r="K199" s="633"/>
      <c r="M199" s="286"/>
      <c r="N199" s="286"/>
    </row>
    <row r="200" spans="2:16">
      <c r="B200" s="571"/>
      <c r="C200" s="572"/>
      <c r="E200" s="495"/>
      <c r="F200" s="633" t="str">
        <f>F120</f>
        <v>PUBLIC SERVICE COMPANY OF OKLAHOMA</v>
      </c>
      <c r="G200" s="495"/>
      <c r="H200" s="495"/>
      <c r="I200" s="495"/>
      <c r="J200" s="495"/>
      <c r="K200" s="495"/>
      <c r="L200" s="495"/>
      <c r="M200" s="286"/>
      <c r="N200" s="286"/>
    </row>
    <row r="201" spans="2:16">
      <c r="B201" s="571"/>
      <c r="C201" s="572"/>
      <c r="E201" s="495"/>
      <c r="F201" s="633"/>
      <c r="G201" s="582"/>
      <c r="H201" s="495"/>
      <c r="I201" s="495"/>
      <c r="J201" s="495"/>
      <c r="K201" s="495"/>
      <c r="L201" s="582"/>
      <c r="M201" s="286"/>
      <c r="N201" s="286"/>
    </row>
    <row r="202" spans="2:16">
      <c r="B202" s="571"/>
      <c r="C202" s="572"/>
      <c r="F202" s="634" t="s">
        <v>218</v>
      </c>
      <c r="H202" s="495"/>
      <c r="I202" s="495"/>
      <c r="J202" s="495"/>
      <c r="K202" s="495"/>
      <c r="L202" s="495"/>
      <c r="M202" s="286"/>
      <c r="N202" s="286"/>
    </row>
    <row r="203" spans="2:16">
      <c r="B203" s="571"/>
      <c r="C203" s="572"/>
      <c r="D203" s="663"/>
      <c r="E203" s="495"/>
      <c r="F203" s="495"/>
      <c r="G203" s="495"/>
      <c r="H203" s="495"/>
      <c r="I203" s="495"/>
      <c r="J203" s="495"/>
      <c r="K203" s="495"/>
      <c r="L203" s="495"/>
      <c r="M203" s="286"/>
      <c r="N203" s="286"/>
    </row>
    <row r="204" spans="2:16">
      <c r="B204" s="571" t="s">
        <v>256</v>
      </c>
      <c r="C204" s="572"/>
      <c r="D204" s="663"/>
      <c r="E204" s="495"/>
      <c r="F204" s="495"/>
      <c r="G204" s="495"/>
      <c r="H204" s="495"/>
      <c r="I204" s="495"/>
      <c r="J204" s="495"/>
      <c r="K204" s="495"/>
      <c r="L204" s="495"/>
      <c r="M204" s="286"/>
      <c r="N204" s="286"/>
    </row>
    <row r="205" spans="2:16" ht="16" thickBot="1">
      <c r="B205" s="577" t="s">
        <v>257</v>
      </c>
      <c r="C205" s="572"/>
      <c r="D205" s="495" t="s">
        <v>963</v>
      </c>
      <c r="E205" s="495"/>
      <c r="F205" s="495"/>
      <c r="G205" s="495"/>
      <c r="H205" s="495"/>
      <c r="I205" s="495"/>
      <c r="J205" s="495"/>
      <c r="M205" s="286"/>
      <c r="N205" s="286"/>
      <c r="P205" s="286"/>
    </row>
    <row r="206" spans="2:16">
      <c r="B206" s="571">
        <f>+B193+1</f>
        <v>118</v>
      </c>
      <c r="C206" s="572"/>
      <c r="D206" s="495" t="s">
        <v>305</v>
      </c>
      <c r="E206" s="664" t="str">
        <f>"(ln "&amp;B56&amp;")"</f>
        <v>(ln 16)</v>
      </c>
      <c r="F206" s="495"/>
      <c r="H206" s="570"/>
      <c r="I206" s="570"/>
      <c r="J206" s="570"/>
      <c r="K206" s="570"/>
      <c r="L206" s="582">
        <f>+G56</f>
        <v>1264681127.2407694</v>
      </c>
      <c r="M206" s="286"/>
      <c r="N206" s="286"/>
      <c r="P206" s="286"/>
    </row>
    <row r="207" spans="2:16">
      <c r="B207" s="571">
        <f>+B206+1</f>
        <v>119</v>
      </c>
      <c r="C207" s="572"/>
      <c r="D207" s="665" t="str">
        <f>"  Less transmission plant excluded from SPP Tariff  (Worksheet A-1, ln "&amp;'PSO WS A-1 - Plant'!A44&amp;" Col. (F))  (Note Q)"</f>
        <v xml:space="preserve">  Less transmission plant excluded from SPP Tariff  (Worksheet A-1, ln 28 Col. (F))  (Note Q)</v>
      </c>
      <c r="G207" s="633"/>
      <c r="L207" s="595">
        <f>+'PSO WS A-1 - Plant'!G44</f>
        <v>223074273.93538463</v>
      </c>
      <c r="M207" s="286"/>
      <c r="N207" s="1336"/>
      <c r="P207" s="286"/>
    </row>
    <row r="208" spans="2:16" ht="16" thickBot="1">
      <c r="B208" s="571">
        <f>+B207+1</f>
        <v>120</v>
      </c>
      <c r="C208" s="572"/>
      <c r="D208" s="495" t="str">
        <f>"  Less transmission plant included in OATT Ancillary Services (Worksheet A-1, ln "&amp;'PSO WS A-1 - Plant'!A44&amp;", Col. (E))  (Note R)"</f>
        <v xml:space="preserve">  Less transmission plant included in OATT Ancillary Services (Worksheet A-1, ln 28, Col. (E))  (Note R)</v>
      </c>
      <c r="E208" s="495"/>
      <c r="F208" s="495"/>
      <c r="G208" s="583"/>
      <c r="H208" s="570"/>
      <c r="I208" s="570"/>
      <c r="J208" s="583"/>
      <c r="K208" s="570"/>
      <c r="L208" s="666">
        <f>+'PSO WS A-1 - Plant'!F44</f>
        <v>29283708.9923077</v>
      </c>
      <c r="M208" s="286"/>
      <c r="N208" s="1336"/>
      <c r="P208" s="286"/>
    </row>
    <row r="209" spans="2:16">
      <c r="B209" s="571">
        <f>+B208+1</f>
        <v>121</v>
      </c>
      <c r="C209" s="572"/>
      <c r="D209" s="495" t="s">
        <v>85</v>
      </c>
      <c r="E209" s="580" t="str">
        <f>"(ln "&amp;B206&amp;" - ln "&amp;B207&amp;" - ln "&amp;B208&amp;")"</f>
        <v>(ln 118 - ln 119 - ln 120)</v>
      </c>
      <c r="F209" s="495"/>
      <c r="H209" s="570"/>
      <c r="I209" s="570"/>
      <c r="J209" s="583"/>
      <c r="K209" s="570"/>
      <c r="L209" s="582">
        <f>L206-L207-L208</f>
        <v>1012323144.3130771</v>
      </c>
      <c r="M209" s="286"/>
      <c r="N209" s="1263"/>
      <c r="P209" s="286"/>
    </row>
    <row r="210" spans="2:16">
      <c r="B210" s="571"/>
      <c r="C210" s="572"/>
      <c r="E210" s="495"/>
      <c r="F210" s="495"/>
      <c r="G210" s="583"/>
      <c r="H210" s="570"/>
      <c r="I210" s="570"/>
      <c r="J210" s="583"/>
      <c r="K210" s="570"/>
      <c r="M210" s="286"/>
      <c r="N210"/>
      <c r="P210" s="286"/>
    </row>
    <row r="211" spans="2:16">
      <c r="B211" s="571">
        <f>+B209+1</f>
        <v>122</v>
      </c>
      <c r="C211" s="572"/>
      <c r="D211" s="495" t="s">
        <v>86</v>
      </c>
      <c r="E211" s="579" t="str">
        <f>"(ln "&amp;B209&amp;" / ln "&amp;B206&amp;")"</f>
        <v>(ln 121 / ln 118)</v>
      </c>
      <c r="F211" s="575"/>
      <c r="H211" s="575"/>
      <c r="I211" s="573"/>
      <c r="J211" s="573"/>
      <c r="K211" s="606" t="s">
        <v>282</v>
      </c>
      <c r="L211" s="667">
        <f>IF(L206&gt;0,L209/L206,0)</f>
        <v>0.80045722396579377</v>
      </c>
      <c r="M211" s="286"/>
      <c r="N211"/>
      <c r="P211" s="286"/>
    </row>
    <row r="212" spans="2:16">
      <c r="B212" s="571"/>
      <c r="C212" s="572"/>
      <c r="D212" s="663"/>
      <c r="E212" s="495"/>
      <c r="F212"/>
      <c r="G212"/>
      <c r="H212" s="495"/>
      <c r="I212" s="572"/>
      <c r="J212" s="495"/>
      <c r="K212" s="495"/>
      <c r="L212" s="495"/>
      <c r="M212" s="286"/>
      <c r="N212" s="286"/>
    </row>
    <row r="213" spans="2:16" ht="31">
      <c r="B213" s="571">
        <f>B211+1</f>
        <v>123</v>
      </c>
      <c r="C213" s="572"/>
      <c r="D213" s="495" t="s">
        <v>219</v>
      </c>
      <c r="E213" s="583" t="s">
        <v>56</v>
      </c>
      <c r="F213" s="583" t="s">
        <v>321</v>
      </c>
      <c r="G213" s="1823" t="s">
        <v>353</v>
      </c>
      <c r="H213" s="633" t="s">
        <v>258</v>
      </c>
      <c r="I213" s="583"/>
      <c r="J213" s="570"/>
      <c r="K213" s="570"/>
      <c r="L213" s="570"/>
      <c r="M213" s="286"/>
      <c r="N213" s="286"/>
    </row>
    <row r="214" spans="2:16">
      <c r="B214" s="571">
        <f t="shared" ref="B214:B219" si="11">+B213+1</f>
        <v>124</v>
      </c>
      <c r="C214" s="572"/>
      <c r="D214" s="495" t="s">
        <v>266</v>
      </c>
      <c r="E214" s="570" t="s">
        <v>59</v>
      </c>
      <c r="F214" s="638">
        <v>28556087</v>
      </c>
      <c r="G214" s="638">
        <v>13008744</v>
      </c>
      <c r="H214" s="595">
        <f>+F214+G214</f>
        <v>41564831</v>
      </c>
      <c r="I214" s="583" t="s">
        <v>267</v>
      </c>
      <c r="J214" s="584">
        <v>0</v>
      </c>
      <c r="K214" s="668"/>
      <c r="L214" s="2102">
        <f>(F214+G214)*J214</f>
        <v>0</v>
      </c>
      <c r="M214" s="286"/>
      <c r="N214" s="286"/>
    </row>
    <row r="215" spans="2:16">
      <c r="B215" s="571">
        <f>+B214+1</f>
        <v>125</v>
      </c>
      <c r="C215" s="572"/>
      <c r="D215" s="495" t="s">
        <v>268</v>
      </c>
      <c r="E215" s="570" t="s">
        <v>147</v>
      </c>
      <c r="F215" s="638">
        <v>3722641</v>
      </c>
      <c r="G215" s="638">
        <v>4672756</v>
      </c>
      <c r="H215" s="595">
        <f>+F215+G215</f>
        <v>8395397</v>
      </c>
      <c r="I215" s="572" t="s">
        <v>260</v>
      </c>
      <c r="J215" s="584">
        <f>+L211</f>
        <v>0.80045722396579377</v>
      </c>
      <c r="L215" s="2102">
        <f>(F215+G215)*J215</f>
        <v>6720156.1767107528</v>
      </c>
      <c r="M215" s="286"/>
      <c r="N215" s="286"/>
    </row>
    <row r="216" spans="2:16">
      <c r="B216" s="571">
        <f>+B215+1</f>
        <v>126</v>
      </c>
      <c r="C216" s="572"/>
      <c r="D216" s="495" t="s">
        <v>145</v>
      </c>
      <c r="E216" s="570" t="s">
        <v>146</v>
      </c>
      <c r="F216" s="2100">
        <v>0</v>
      </c>
      <c r="G216" s="2100">
        <v>0</v>
      </c>
      <c r="H216" s="2101">
        <f>+F216+G216</f>
        <v>0</v>
      </c>
      <c r="I216" s="583" t="s">
        <v>267</v>
      </c>
      <c r="J216" s="584">
        <v>0</v>
      </c>
      <c r="K216" s="668"/>
      <c r="L216" s="2102">
        <f>(F216+G216)*J216</f>
        <v>0</v>
      </c>
      <c r="M216" s="286"/>
      <c r="N216" s="286"/>
    </row>
    <row r="217" spans="2:16">
      <c r="B217" s="571">
        <f t="shared" si="11"/>
        <v>127</v>
      </c>
      <c r="C217" s="572"/>
      <c r="D217" s="495" t="s">
        <v>270</v>
      </c>
      <c r="E217" s="570" t="s">
        <v>57</v>
      </c>
      <c r="F217" s="638">
        <v>24467959</v>
      </c>
      <c r="G217" s="638">
        <v>2320413</v>
      </c>
      <c r="H217" s="595">
        <f>+F217+G217</f>
        <v>26788372</v>
      </c>
      <c r="I217" s="583" t="s">
        <v>267</v>
      </c>
      <c r="J217" s="584">
        <v>0</v>
      </c>
      <c r="K217" s="668"/>
      <c r="L217" s="2102">
        <f>(F217+G217)*J217</f>
        <v>0</v>
      </c>
      <c r="M217" s="286"/>
      <c r="N217" s="286"/>
    </row>
    <row r="218" spans="2:16" ht="16" thickBot="1">
      <c r="B218" s="571">
        <f t="shared" si="11"/>
        <v>128</v>
      </c>
      <c r="C218" s="572"/>
      <c r="D218" s="495" t="s">
        <v>336</v>
      </c>
      <c r="E218" s="570" t="s">
        <v>58</v>
      </c>
      <c r="F218" s="638">
        <v>5539289</v>
      </c>
      <c r="G218" s="638">
        <v>6049308</v>
      </c>
      <c r="H218" s="666">
        <f>+F218+G218</f>
        <v>11588597</v>
      </c>
      <c r="I218" s="583" t="s">
        <v>267</v>
      </c>
      <c r="J218" s="584">
        <v>0</v>
      </c>
      <c r="K218" s="668"/>
      <c r="L218" s="2103">
        <f>(F218+G218)*J218</f>
        <v>0</v>
      </c>
      <c r="M218" s="286"/>
      <c r="N218" s="286"/>
    </row>
    <row r="219" spans="2:16">
      <c r="B219" s="571">
        <f t="shared" si="11"/>
        <v>129</v>
      </c>
      <c r="C219" s="572"/>
      <c r="D219" s="495" t="s">
        <v>258</v>
      </c>
      <c r="E219" s="495" t="str">
        <f>"(sum lns "&amp;B214&amp;" to "&amp;B218&amp;")"</f>
        <v>(sum lns 124 to 128)</v>
      </c>
      <c r="F219" s="640">
        <f>SUM(F214:F218)</f>
        <v>62285976</v>
      </c>
      <c r="G219" s="640">
        <f>SUM(G214:G218)</f>
        <v>26051221</v>
      </c>
      <c r="H219" s="570">
        <f>SUM(H214:H218)</f>
        <v>88337197</v>
      </c>
      <c r="I219" s="583"/>
      <c r="J219" s="570"/>
      <c r="K219" s="570"/>
      <c r="L219" s="582">
        <f>SUM(L214:L218)</f>
        <v>6720156.1767107528</v>
      </c>
      <c r="M219" s="286"/>
      <c r="N219" s="286"/>
    </row>
    <row r="220" spans="2:16">
      <c r="B220" s="571"/>
      <c r="C220" s="572"/>
      <c r="D220" s="495" t="s">
        <v>254</v>
      </c>
      <c r="E220" s="570" t="s">
        <v>254</v>
      </c>
      <c r="F220" s="570"/>
      <c r="H220" s="570"/>
      <c r="I220" s="633"/>
      <c r="M220" s="286"/>
      <c r="N220" s="286"/>
    </row>
    <row r="221" spans="2:16">
      <c r="B221" s="571">
        <f>B219+1</f>
        <v>130</v>
      </c>
      <c r="C221" s="572"/>
      <c r="D221" s="495" t="s">
        <v>220</v>
      </c>
      <c r="E221" s="570"/>
      <c r="F221" s="570"/>
      <c r="G221" s="570"/>
      <c r="H221" s="570"/>
      <c r="I221" s="633"/>
      <c r="K221" s="618" t="s">
        <v>221</v>
      </c>
      <c r="L221" s="616">
        <f>IF(H219&lt;&gt;0,L219/(F219+G219),0)</f>
        <v>7.6073912292131618E-2</v>
      </c>
      <c r="M221" s="286"/>
      <c r="N221" s="286"/>
    </row>
    <row r="222" spans="2:16">
      <c r="B222" s="571"/>
      <c r="C222" s="572"/>
      <c r="D222" s="495"/>
      <c r="E222" s="570"/>
      <c r="F222" s="570"/>
      <c r="G222" s="570"/>
      <c r="H222" s="570"/>
      <c r="I222" s="583"/>
      <c r="J222" s="570"/>
      <c r="K222" s="570"/>
      <c r="L222" s="570"/>
      <c r="M222" s="286"/>
      <c r="N222" s="286"/>
    </row>
    <row r="223" spans="2:16">
      <c r="B223" s="571"/>
      <c r="C223" s="572"/>
      <c r="D223" s="495"/>
      <c r="E223" s="579"/>
      <c r="F223" s="570"/>
      <c r="H223" s="570"/>
      <c r="I223" s="570"/>
      <c r="J223" s="570"/>
      <c r="K223" s="606"/>
      <c r="L223" s="669"/>
      <c r="M223" s="286"/>
      <c r="N223" s="286"/>
    </row>
    <row r="224" spans="2:16" ht="16" thickBot="1">
      <c r="B224" s="571">
        <f>+B221+1</f>
        <v>131</v>
      </c>
      <c r="C224" s="572"/>
      <c r="D224" s="495" t="s">
        <v>964</v>
      </c>
      <c r="E224" s="570"/>
      <c r="F224" s="570"/>
      <c r="G224" s="570"/>
      <c r="H224" s="570"/>
      <c r="I224" s="570"/>
      <c r="J224" s="570"/>
      <c r="K224" s="570"/>
      <c r="L224" s="670" t="s">
        <v>283</v>
      </c>
      <c r="M224" s="286"/>
      <c r="N224" s="286"/>
    </row>
    <row r="225" spans="2:21">
      <c r="B225" s="571">
        <f t="shared" ref="B225:B232" si="12">+B224+1</f>
        <v>132</v>
      </c>
      <c r="C225" s="572"/>
      <c r="D225" s="570" t="s">
        <v>356</v>
      </c>
      <c r="E225" s="497" t="str">
        <f>"Long Term Interest (Worksheet M, ln. "&amp;'PSO WS M - Cost of Capital'!A58&amp;", col. "&amp;'PSO WS M - Cost of Capital'!E48&amp;")"</f>
        <v>Long Term Interest (Worksheet M, ln. 37, col. (d))</v>
      </c>
      <c r="F225" s="570"/>
      <c r="G225" s="570"/>
      <c r="H225" s="570"/>
      <c r="I225" s="570"/>
      <c r="J225" s="570"/>
      <c r="K225" s="570"/>
      <c r="L225" s="582">
        <f>+'PSO WS M - Cost of Capital'!E58</f>
        <v>103824893.03</v>
      </c>
      <c r="M225" s="286"/>
      <c r="N225" s="286"/>
    </row>
    <row r="226" spans="2:21">
      <c r="B226" s="571">
        <f t="shared" si="12"/>
        <v>133</v>
      </c>
      <c r="C226" s="572"/>
      <c r="D226" s="570" t="s">
        <v>357</v>
      </c>
      <c r="E226" s="497" t="str">
        <f>"Preferred Stock Dividends (Worksheet M, ln. "&amp;'PSO WS M - Cost of Capital'!A87&amp;", col. "&amp;'PSO WS M - Cost of Capital'!E48&amp;")"</f>
        <v>Preferred Stock Dividends (Worksheet M, ln. 57, col. (d))</v>
      </c>
      <c r="F226" s="570"/>
      <c r="G226" s="570"/>
      <c r="H226" s="570"/>
      <c r="I226" s="570"/>
      <c r="J226" s="570"/>
      <c r="K226" s="570"/>
      <c r="L226" s="582">
        <f>+'PSO WS M - Cost of Capital'!E87</f>
        <v>0</v>
      </c>
      <c r="M226" s="286"/>
      <c r="N226" s="286"/>
    </row>
    <row r="227" spans="2:21" ht="16" thickBot="1">
      <c r="B227" s="571">
        <f t="shared" si="12"/>
        <v>134</v>
      </c>
      <c r="C227" s="572"/>
      <c r="D227" s="671" t="s">
        <v>363</v>
      </c>
      <c r="E227" s="570"/>
      <c r="F227" s="570"/>
      <c r="G227" s="570"/>
      <c r="H227" s="286"/>
      <c r="I227" s="286"/>
      <c r="J227" s="286"/>
      <c r="K227" s="570"/>
      <c r="L227" s="672" t="s">
        <v>180</v>
      </c>
      <c r="M227" s="286"/>
      <c r="N227" s="286"/>
    </row>
    <row r="228" spans="2:21">
      <c r="B228" s="571">
        <f t="shared" si="12"/>
        <v>135</v>
      </c>
      <c r="C228" s="572"/>
      <c r="D228" s="570" t="s">
        <v>364</v>
      </c>
      <c r="E228" s="497" t="str">
        <f>"(Worksheet M, ln. "&amp;'PSO WS M - Cost of Capital'!A24&amp;", col. "&amp;'PSO WS M - Cost of Capital'!C9&amp;")"</f>
        <v>(Worksheet M, ln. 14, col. (b))</v>
      </c>
      <c r="F228" s="570"/>
      <c r="G228" s="495"/>
      <c r="H228" s="286"/>
      <c r="I228" s="286"/>
      <c r="J228" s="286"/>
      <c r="K228" s="570"/>
      <c r="L228" s="595">
        <f>+'PSO WS M - Cost of Capital'!C24</f>
        <v>2625726222.0057693</v>
      </c>
      <c r="M228" s="286"/>
      <c r="N228" s="286"/>
    </row>
    <row r="229" spans="2:21">
      <c r="B229" s="571">
        <f t="shared" si="12"/>
        <v>136</v>
      </c>
      <c r="C229" s="572"/>
      <c r="D229" s="570" t="str">
        <f>"Less Preferred Stock (ln "&amp;B236&amp;")"</f>
        <v>Less Preferred Stock (ln 142)</v>
      </c>
      <c r="E229" s="497" t="str">
        <f>"(Worksheet M, ln. "&amp;'PSO WS M - Cost of Capital'!A24&amp;", col. "&amp;'PSO WS M - Cost of Capital'!D9&amp;")"</f>
        <v>(Worksheet M, ln. 14, col. (c))</v>
      </c>
      <c r="F229" s="570"/>
      <c r="G229" s="570"/>
      <c r="H229" s="286"/>
      <c r="I229" s="286"/>
      <c r="J229" s="286"/>
      <c r="K229" s="570"/>
      <c r="L229" s="595">
        <f>+'PSO WS M - Cost of Capital'!D24</f>
        <v>0</v>
      </c>
      <c r="M229" s="286"/>
      <c r="N229" s="286"/>
    </row>
    <row r="230" spans="2:21">
      <c r="B230" s="571">
        <f t="shared" si="12"/>
        <v>137</v>
      </c>
      <c r="C230" s="572"/>
      <c r="D230" s="570" t="s">
        <v>52</v>
      </c>
      <c r="E230" s="497" t="str">
        <f>"(Worksheet M, ln. "&amp;'PSO WS M - Cost of Capital'!A24&amp;", col. "&amp;'PSO WS M - Cost of Capital'!E9&amp;")"</f>
        <v>(Worksheet M, ln. 14, col. (d))</v>
      </c>
      <c r="F230" s="570"/>
      <c r="G230" s="570"/>
      <c r="H230" s="286"/>
      <c r="I230" s="286"/>
      <c r="J230" s="286"/>
      <c r="K230" s="570"/>
      <c r="L230" s="595">
        <f>+'PSO WS M - Cost of Capital'!E24</f>
        <v>0</v>
      </c>
      <c r="M230" s="286"/>
      <c r="N230" s="286"/>
    </row>
    <row r="231" spans="2:21" ht="16" thickBot="1">
      <c r="B231" s="571">
        <f t="shared" si="12"/>
        <v>138</v>
      </c>
      <c r="C231" s="572"/>
      <c r="D231" s="570" t="s">
        <v>365</v>
      </c>
      <c r="E231" s="497" t="str">
        <f>"(Worksheet M, ln. "&amp;'PSO WS M - Cost of Capital'!A24&amp;", col. "&amp;'PSO WS M - Cost of Capital'!F9&amp;")"</f>
        <v>(Worksheet M, ln. 14, col. (e))</v>
      </c>
      <c r="F231" s="570"/>
      <c r="G231" s="570"/>
      <c r="H231" s="286"/>
      <c r="I231" s="286"/>
      <c r="J231" s="286"/>
      <c r="K231" s="570"/>
      <c r="L231" s="666">
        <f>+'PSO WS M - Cost of Capital'!F24</f>
        <v>-1915682.0561538462</v>
      </c>
      <c r="M231" s="286"/>
      <c r="N231" s="286"/>
    </row>
    <row r="232" spans="2:21">
      <c r="B232" s="571">
        <f t="shared" si="12"/>
        <v>139</v>
      </c>
      <c r="C232" s="572"/>
      <c r="D232" s="497" t="s">
        <v>366</v>
      </c>
      <c r="E232" s="570" t="str">
        <f>"(ln "&amp;B228&amp;" - ln "&amp;B229&amp;" - ln "&amp;B230&amp;" - ln "&amp;B231&amp;")"</f>
        <v>(ln 135 - ln 136 - ln 137 - ln 138)</v>
      </c>
      <c r="F232" s="579"/>
      <c r="H232" s="495"/>
      <c r="I232" s="495"/>
      <c r="J232" s="495"/>
      <c r="K232" s="495"/>
      <c r="L232" s="582">
        <f>+L228-L229-L230-L231</f>
        <v>2627641904.061923</v>
      </c>
      <c r="M232" s="286"/>
      <c r="N232" s="286"/>
    </row>
    <row r="233" spans="2:21" ht="52.5" customHeight="1">
      <c r="B233" s="571"/>
      <c r="C233" s="572"/>
      <c r="D233" s="495"/>
      <c r="E233" s="570"/>
      <c r="F233" s="570"/>
      <c r="G233" s="673" t="s">
        <v>420</v>
      </c>
      <c r="H233" s="286"/>
      <c r="I233" s="570"/>
      <c r="J233" s="583" t="s">
        <v>284</v>
      </c>
      <c r="K233" s="570"/>
      <c r="L233" s="570"/>
      <c r="M233" s="286"/>
      <c r="N233" s="286"/>
    </row>
    <row r="234" spans="2:21" ht="16" thickBot="1">
      <c r="B234" s="571">
        <f>+B232+1</f>
        <v>140</v>
      </c>
      <c r="C234" s="572"/>
      <c r="D234" s="495"/>
      <c r="E234" s="578" t="s">
        <v>419</v>
      </c>
      <c r="G234" s="674"/>
      <c r="H234" s="286"/>
      <c r="I234" s="570"/>
      <c r="J234" s="578" t="s">
        <v>411</v>
      </c>
      <c r="K234" s="570"/>
      <c r="L234" s="578" t="s">
        <v>286</v>
      </c>
      <c r="M234" s="286"/>
      <c r="N234" s="286"/>
      <c r="O234" s="495"/>
      <c r="P234" s="495"/>
      <c r="Q234" s="495"/>
      <c r="R234" s="495"/>
      <c r="S234" s="495"/>
      <c r="T234" s="495"/>
      <c r="U234" s="495"/>
    </row>
    <row r="235" spans="2:21">
      <c r="B235" s="571">
        <f>+B234+1</f>
        <v>141</v>
      </c>
      <c r="C235" s="572"/>
      <c r="D235" s="570" t="str">
        <f>"Avg Long Term Debt (Worksheet M, ln. "&amp;'PSO WS M - Cost of Capital'!A43&amp;", col. (g))"</f>
        <v>Avg Long Term Debt (Worksheet M, ln. 28, col. (g))</v>
      </c>
      <c r="E235" s="582">
        <f>+'PSO WS M - Cost of Capital'!H43</f>
        <v>2428627218.2200003</v>
      </c>
      <c r="G235" s="593">
        <f>IF($E$238&gt;0,E235/$E$238,0)</f>
        <v>0.48032000660675805</v>
      </c>
      <c r="H235" s="286"/>
      <c r="I235" s="675"/>
      <c r="J235" s="594">
        <f>+'PSO WS M - Cost of Capital'!E60</f>
        <v>4.2750444469652191E-2</v>
      </c>
      <c r="L235" s="675">
        <f>J235*G235</f>
        <v>2.0533893770105182E-2</v>
      </c>
      <c r="M235" s="286"/>
      <c r="N235" s="286"/>
      <c r="O235" s="495"/>
      <c r="P235" s="495"/>
      <c r="Q235" s="495"/>
      <c r="R235" s="495"/>
      <c r="S235" s="495"/>
      <c r="T235" s="495"/>
      <c r="U235" s="495"/>
    </row>
    <row r="236" spans="2:21">
      <c r="B236" s="571">
        <f>+B235+1</f>
        <v>142</v>
      </c>
      <c r="C236" s="572"/>
      <c r="D236" s="570" t="str">
        <f>"Avg Preferred Stock (Worksheet M, ln. "&amp;'PSO WS M - Cost of Capital'!A24&amp;", col. "&amp;'PSO WS M - Cost of Capital'!D9&amp;")"</f>
        <v>Avg Preferred Stock (Worksheet M, ln. 14, col. (c))</v>
      </c>
      <c r="E236" s="582">
        <f>+'PSO WS M - Cost of Capital'!D24</f>
        <v>0</v>
      </c>
      <c r="G236" s="593">
        <f>IF($E$238&gt;0,E236/$E$238,0)</f>
        <v>0</v>
      </c>
      <c r="H236" s="286"/>
      <c r="I236" s="675"/>
      <c r="J236" s="594">
        <f>IF(E236&gt;0,L226/E236,0)</f>
        <v>0</v>
      </c>
      <c r="L236" s="675">
        <f>J236*G236</f>
        <v>0</v>
      </c>
      <c r="M236" s="286"/>
      <c r="N236" s="286"/>
      <c r="O236" s="495"/>
    </row>
    <row r="237" spans="2:21" ht="16" thickBot="1">
      <c r="B237" s="571">
        <f>+B236+1</f>
        <v>143</v>
      </c>
      <c r="C237" s="572"/>
      <c r="D237" s="495" t="str">
        <f>"Avg Common Stock (ln "&amp;B232&amp;")"</f>
        <v>Avg Common Stock (ln 139)</v>
      </c>
      <c r="E237" s="615">
        <f>+L232</f>
        <v>2627641904.061923</v>
      </c>
      <c r="G237" s="593">
        <f>IF($E$238&gt;0,E237/$E$238,0)</f>
        <v>0.51967999339324189</v>
      </c>
      <c r="H237" s="286"/>
      <c r="I237" s="675"/>
      <c r="J237" s="676">
        <v>0.105</v>
      </c>
      <c r="L237" s="677">
        <f>J237*G237</f>
        <v>5.4566399306290397E-2</v>
      </c>
      <c r="M237" s="286"/>
      <c r="N237" s="286"/>
      <c r="O237" s="495"/>
    </row>
    <row r="238" spans="2:21">
      <c r="B238" s="571">
        <f>+B237+1</f>
        <v>144</v>
      </c>
      <c r="C238" s="572"/>
      <c r="D238" s="495" t="str">
        <f>"  Total  (sum lns "&amp;B235&amp;" to "&amp;B237&amp;")"</f>
        <v xml:space="preserve">  Total  (sum lns 141 to 143)</v>
      </c>
      <c r="E238" s="582">
        <f>E237+E236+E235</f>
        <v>5056269122.2819233</v>
      </c>
      <c r="G238" s="570" t="s">
        <v>254</v>
      </c>
      <c r="H238" s="286"/>
      <c r="I238" s="570"/>
      <c r="J238" s="286"/>
      <c r="K238" s="678" t="s">
        <v>208</v>
      </c>
      <c r="L238" s="679">
        <f>SUM(L235:L237)</f>
        <v>7.5100293076395583E-2</v>
      </c>
      <c r="M238" s="286"/>
      <c r="N238" s="286"/>
      <c r="P238" s="680"/>
    </row>
    <row r="239" spans="2:21">
      <c r="B239" s="681"/>
      <c r="C239" s="286"/>
      <c r="D239" s="286"/>
      <c r="E239" s="286"/>
      <c r="F239" s="286"/>
      <c r="G239" s="286"/>
      <c r="H239" s="286"/>
      <c r="I239" s="286"/>
      <c r="J239" s="18"/>
      <c r="K239" s="18"/>
      <c r="L239" s="18"/>
      <c r="M239" s="286"/>
      <c r="N239" s="286"/>
      <c r="O239" s="495"/>
      <c r="P239" s="495"/>
      <c r="Q239" s="495"/>
      <c r="R239" s="495"/>
      <c r="S239" s="495"/>
      <c r="T239" s="495"/>
      <c r="U239" s="495"/>
    </row>
    <row r="240" spans="2:21">
      <c r="B240" s="571"/>
      <c r="C240" s="286"/>
      <c r="D240" s="286"/>
      <c r="E240" s="286"/>
      <c r="F240" s="286"/>
      <c r="G240" s="286"/>
      <c r="H240" s="286"/>
      <c r="I240" s="286"/>
      <c r="J240" s="570"/>
      <c r="K240" s="495"/>
      <c r="L240" s="570"/>
      <c r="M240" s="286"/>
      <c r="N240" s="286"/>
      <c r="O240" s="495"/>
      <c r="P240" s="495"/>
      <c r="Q240" s="495"/>
      <c r="R240" s="495"/>
      <c r="S240" s="495"/>
      <c r="T240" s="495"/>
      <c r="U240" s="495"/>
    </row>
    <row r="241" spans="2:21">
      <c r="B241" s="571"/>
      <c r="C241" s="572"/>
      <c r="D241" s="566"/>
      <c r="E241" s="566"/>
      <c r="F241" s="633" t="str">
        <f>F196</f>
        <v xml:space="preserve">AEP West SPP Member Operating Companies </v>
      </c>
      <c r="G241" s="567"/>
      <c r="H241" s="570"/>
      <c r="I241" s="570"/>
      <c r="J241" s="570"/>
      <c r="K241" s="495"/>
      <c r="L241" s="570"/>
      <c r="M241" s="286"/>
      <c r="N241" s="286"/>
      <c r="O241" s="495"/>
      <c r="P241" s="495"/>
      <c r="Q241" s="495"/>
      <c r="R241" s="495"/>
      <c r="S241" s="495"/>
      <c r="T241" s="495"/>
      <c r="U241" s="495"/>
    </row>
    <row r="242" spans="2:21">
      <c r="B242" s="571"/>
      <c r="C242" s="572"/>
      <c r="E242" s="572"/>
      <c r="F242" s="633" t="str">
        <f>F197</f>
        <v>Transmission Cost of Service Formula Rate</v>
      </c>
      <c r="G242" s="570"/>
      <c r="H242" s="570"/>
      <c r="I242" s="570"/>
      <c r="J242" s="570"/>
      <c r="K242" s="495"/>
      <c r="L242" s="496"/>
      <c r="M242" s="286"/>
      <c r="N242" s="286"/>
      <c r="O242" s="495"/>
      <c r="P242" s="495"/>
      <c r="Q242" s="495"/>
      <c r="R242" s="495"/>
      <c r="S242" s="495"/>
      <c r="T242" s="495"/>
      <c r="U242" s="495"/>
    </row>
    <row r="243" spans="2:21">
      <c r="B243" s="571"/>
      <c r="C243" s="572"/>
      <c r="E243" s="634"/>
      <c r="F243" s="633" t="str">
        <f>F198</f>
        <v>Utilizing Actual / Projected Cost Data for the 2024 Rate Year</v>
      </c>
      <c r="G243" s="570"/>
      <c r="H243" s="570"/>
      <c r="I243" s="570"/>
      <c r="J243" s="570"/>
      <c r="K243" s="495"/>
      <c r="L243" s="496"/>
      <c r="M243" s="286"/>
      <c r="N243" s="286"/>
      <c r="O243" s="495"/>
      <c r="P243" s="495"/>
      <c r="Q243" s="495"/>
      <c r="R243" s="495"/>
      <c r="S243" s="495"/>
      <c r="T243" s="495"/>
      <c r="U243" s="495"/>
    </row>
    <row r="244" spans="2:21">
      <c r="B244" s="571"/>
      <c r="C244" s="572"/>
      <c r="E244" s="634"/>
      <c r="F244" s="633"/>
      <c r="G244" s="570"/>
      <c r="H244" s="570"/>
      <c r="I244" s="570"/>
      <c r="J244" s="570"/>
      <c r="K244" s="495"/>
      <c r="L244" s="496"/>
      <c r="M244" s="286"/>
      <c r="N244" s="286"/>
      <c r="O244" s="495"/>
      <c r="P244" s="495"/>
      <c r="Q244" s="495"/>
      <c r="R244" s="495"/>
      <c r="S244" s="495"/>
      <c r="T244" s="495"/>
      <c r="U244" s="495"/>
    </row>
    <row r="245" spans="2:21">
      <c r="B245" s="571"/>
      <c r="C245" s="572"/>
      <c r="E245" s="634"/>
      <c r="F245" s="633" t="str">
        <f>F200</f>
        <v>PUBLIC SERVICE COMPANY OF OKLAHOMA</v>
      </c>
      <c r="G245" s="570"/>
      <c r="H245" s="570"/>
      <c r="I245" s="570"/>
      <c r="J245" s="570"/>
      <c r="K245" s="495"/>
      <c r="L245" s="496"/>
      <c r="M245" s="286"/>
      <c r="N245" s="286"/>
      <c r="O245" s="495"/>
      <c r="P245" s="495"/>
      <c r="Q245" s="495"/>
      <c r="R245" s="495"/>
      <c r="S245" s="495"/>
      <c r="T245" s="495"/>
      <c r="U245" s="495"/>
    </row>
    <row r="246" spans="2:21">
      <c r="B246" s="571"/>
      <c r="C246" s="572"/>
      <c r="E246" s="634"/>
      <c r="F246" s="633"/>
      <c r="G246" s="570"/>
      <c r="H246" s="570"/>
      <c r="I246" s="570"/>
      <c r="J246" s="570"/>
      <c r="K246" s="495"/>
      <c r="L246" s="496"/>
      <c r="M246" s="286"/>
      <c r="N246" s="286"/>
      <c r="O246" s="495"/>
      <c r="P246" s="495"/>
      <c r="Q246" s="495"/>
      <c r="R246" s="495"/>
      <c r="S246" s="495"/>
      <c r="T246" s="495"/>
      <c r="U246" s="495"/>
    </row>
    <row r="247" spans="2:21">
      <c r="B247" s="605" t="s">
        <v>315</v>
      </c>
      <c r="C247" s="572"/>
      <c r="D247" s="495"/>
      <c r="E247" s="495"/>
      <c r="F247" s="605" t="s">
        <v>314</v>
      </c>
      <c r="G247" s="570"/>
      <c r="H247" s="570"/>
      <c r="I247" s="570"/>
      <c r="J247" s="570"/>
      <c r="K247" s="495"/>
      <c r="L247" s="570"/>
      <c r="M247" s="286"/>
      <c r="N247" s="286"/>
      <c r="O247" s="495"/>
      <c r="P247" s="495"/>
      <c r="Q247" s="495"/>
      <c r="R247" s="495"/>
      <c r="S247" s="495"/>
      <c r="T247" s="495"/>
      <c r="U247" s="495"/>
    </row>
    <row r="248" spans="2:21">
      <c r="C248" s="572"/>
      <c r="D248" s="497" t="s">
        <v>677</v>
      </c>
      <c r="L248" s="496"/>
      <c r="M248" s="286"/>
      <c r="N248" s="286"/>
      <c r="O248" s="495"/>
      <c r="P248" s="495"/>
      <c r="Q248" s="495"/>
      <c r="R248" s="495"/>
      <c r="S248" s="495"/>
      <c r="T248" s="495"/>
      <c r="U248" s="495"/>
    </row>
    <row r="249" spans="2:21">
      <c r="B249" s="497"/>
      <c r="D249" s="495"/>
      <c r="E249" s="495"/>
      <c r="F249" s="495"/>
      <c r="G249" s="570"/>
      <c r="H249" s="570"/>
      <c r="I249" s="570"/>
      <c r="J249" s="630"/>
      <c r="K249" s="286"/>
      <c r="L249" s="286"/>
      <c r="M249" s="286"/>
      <c r="N249" s="286"/>
      <c r="O249" s="495"/>
      <c r="P249" s="495"/>
      <c r="Q249" s="495"/>
      <c r="R249" s="495"/>
      <c r="S249" s="495"/>
      <c r="T249" s="495"/>
      <c r="U249" s="495"/>
    </row>
    <row r="250" spans="2:21">
      <c r="B250" s="636" t="s">
        <v>287</v>
      </c>
      <c r="C250" s="572"/>
      <c r="D250" s="495" t="s">
        <v>89</v>
      </c>
      <c r="E250" s="495"/>
      <c r="F250" s="495"/>
      <c r="G250" s="570"/>
      <c r="H250" s="570"/>
      <c r="I250" s="570"/>
      <c r="J250" s="630"/>
      <c r="K250" s="286"/>
      <c r="L250" s="286"/>
      <c r="M250" s="286"/>
      <c r="N250" s="286"/>
      <c r="O250" s="495"/>
      <c r="P250" s="495"/>
      <c r="Q250" s="495"/>
      <c r="R250" s="495"/>
      <c r="S250" s="495"/>
      <c r="T250" s="495"/>
      <c r="U250" s="495"/>
    </row>
    <row r="251" spans="2:21">
      <c r="B251" s="636"/>
      <c r="C251" s="633"/>
      <c r="D251" s="495" t="s">
        <v>90</v>
      </c>
      <c r="E251" s="495"/>
      <c r="F251" s="495"/>
      <c r="G251" s="495"/>
      <c r="H251" s="495"/>
      <c r="I251" s="495"/>
      <c r="J251" s="682"/>
      <c r="K251" s="286"/>
      <c r="L251" s="286"/>
      <c r="M251" s="286"/>
      <c r="N251" s="286"/>
      <c r="O251" s="495"/>
      <c r="P251" s="495"/>
      <c r="Q251" s="495"/>
      <c r="R251" s="495"/>
      <c r="S251" s="495"/>
      <c r="T251" s="495"/>
      <c r="U251" s="495"/>
    </row>
    <row r="252" spans="2:21">
      <c r="D252" s="495" t="s">
        <v>92</v>
      </c>
      <c r="E252" s="593"/>
      <c r="F252" s="593"/>
      <c r="G252" s="495"/>
      <c r="H252" s="495"/>
      <c r="I252" s="495"/>
      <c r="J252" s="682"/>
      <c r="K252" s="286"/>
      <c r="L252" s="286"/>
      <c r="M252" s="286"/>
      <c r="N252" s="286"/>
      <c r="O252" s="495"/>
      <c r="P252" s="495"/>
      <c r="Q252" s="495"/>
      <c r="R252" s="495"/>
      <c r="S252" s="495"/>
      <c r="T252" s="495"/>
      <c r="U252" s="495"/>
    </row>
    <row r="253" spans="2:21">
      <c r="D253" s="495" t="s">
        <v>93</v>
      </c>
      <c r="E253" s="495"/>
      <c r="F253" s="495"/>
      <c r="G253" s="495"/>
      <c r="H253" s="495"/>
      <c r="I253" s="495"/>
      <c r="J253" s="682"/>
      <c r="K253" s="286"/>
      <c r="L253" s="286"/>
      <c r="M253" s="286"/>
      <c r="N253" s="286"/>
      <c r="O253" s="495"/>
      <c r="P253" s="495"/>
      <c r="Q253" s="495"/>
      <c r="R253" s="495"/>
      <c r="S253" s="495"/>
      <c r="T253" s="495"/>
      <c r="U253" s="495"/>
    </row>
    <row r="254" spans="2:21">
      <c r="B254" s="571"/>
      <c r="C254" s="572"/>
      <c r="D254" s="495" t="s">
        <v>925</v>
      </c>
      <c r="E254" s="495"/>
      <c r="F254" s="495"/>
      <c r="G254" s="495"/>
      <c r="H254" s="495"/>
      <c r="I254" s="495"/>
      <c r="J254" s="682"/>
      <c r="K254" s="286"/>
      <c r="L254" s="286"/>
      <c r="M254" s="286"/>
      <c r="N254" s="286"/>
      <c r="O254" s="495"/>
      <c r="P254" s="495"/>
      <c r="Q254" s="495"/>
      <c r="R254" s="495"/>
      <c r="S254" s="495"/>
      <c r="T254" s="495"/>
      <c r="U254" s="495"/>
    </row>
    <row r="255" spans="2:21" ht="15" customHeight="1">
      <c r="B255" s="571"/>
      <c r="C255" s="572"/>
      <c r="D255" s="495"/>
      <c r="E255" s="495"/>
      <c r="F255" s="495"/>
      <c r="G255" s="495"/>
      <c r="H255" s="495"/>
      <c r="I255" s="495"/>
      <c r="J255" s="682"/>
      <c r="K255" s="286"/>
      <c r="L255" s="286"/>
      <c r="M255" s="286"/>
      <c r="N255" s="286"/>
      <c r="O255" s="495"/>
      <c r="P255" s="495"/>
      <c r="Q255" s="495"/>
      <c r="R255" s="495"/>
      <c r="S255" s="495"/>
      <c r="T255" s="495"/>
      <c r="U255" s="495"/>
    </row>
    <row r="256" spans="2:21">
      <c r="B256" s="571" t="s">
        <v>288</v>
      </c>
      <c r="C256" s="572"/>
      <c r="D256" s="18" t="s">
        <v>94</v>
      </c>
      <c r="E256" s="495"/>
      <c r="F256" s="495"/>
      <c r="G256" s="495"/>
      <c r="H256" s="495"/>
      <c r="I256" s="495"/>
      <c r="J256" s="682"/>
      <c r="K256" s="286"/>
      <c r="L256" s="286"/>
      <c r="M256" s="286"/>
      <c r="N256" s="286"/>
      <c r="O256" s="495"/>
      <c r="P256" s="495"/>
      <c r="Q256" s="495"/>
      <c r="R256" s="495"/>
      <c r="S256" s="495"/>
      <c r="T256" s="495"/>
      <c r="U256" s="495"/>
    </row>
    <row r="257" spans="2:21">
      <c r="B257" s="571"/>
      <c r="C257" s="572"/>
      <c r="D257" s="18"/>
      <c r="E257" s="495"/>
      <c r="F257" s="495"/>
      <c r="G257" s="495"/>
      <c r="H257" s="495"/>
      <c r="I257" s="495"/>
      <c r="J257" s="682"/>
      <c r="K257" s="286"/>
      <c r="L257" s="286"/>
      <c r="M257" s="286"/>
      <c r="N257" s="286"/>
      <c r="O257" s="495"/>
      <c r="P257" s="495"/>
      <c r="Q257" s="495"/>
      <c r="R257" s="495"/>
      <c r="S257" s="495"/>
      <c r="T257" s="495"/>
      <c r="U257" s="495"/>
    </row>
    <row r="258" spans="2:21">
      <c r="B258" s="571" t="s">
        <v>289</v>
      </c>
      <c r="C258" s="572"/>
      <c r="D258" s="18" t="s">
        <v>203</v>
      </c>
      <c r="E258" s="495"/>
      <c r="F258" s="495"/>
      <c r="G258" s="495"/>
      <c r="H258" s="495"/>
      <c r="I258" s="495"/>
      <c r="J258" s="682"/>
      <c r="K258" s="286"/>
      <c r="L258" s="286"/>
      <c r="M258" s="286"/>
      <c r="N258" s="286"/>
      <c r="O258" s="495"/>
      <c r="P258" s="495"/>
      <c r="Q258" s="495"/>
      <c r="R258" s="495"/>
      <c r="S258" s="495"/>
      <c r="T258" s="495"/>
      <c r="U258" s="495"/>
    </row>
    <row r="259" spans="2:21">
      <c r="B259" s="571"/>
      <c r="C259" s="572"/>
      <c r="D259" s="18"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59" s="495"/>
      <c r="F259" s="495"/>
      <c r="G259" s="495"/>
      <c r="H259" s="495"/>
      <c r="I259" s="495"/>
      <c r="J259" s="682"/>
      <c r="K259" s="286"/>
      <c r="L259" s="286"/>
      <c r="M259" s="286"/>
      <c r="N259" s="286"/>
      <c r="O259" s="495"/>
      <c r="P259" s="495"/>
      <c r="Q259" s="495"/>
      <c r="R259" s="495"/>
      <c r="S259" s="495"/>
      <c r="T259" s="495"/>
      <c r="U259" s="495"/>
    </row>
    <row r="260" spans="2:21">
      <c r="B260" s="571"/>
      <c r="C260" s="572"/>
      <c r="D260" s="18" t="s">
        <v>204</v>
      </c>
      <c r="E260" s="495"/>
      <c r="F260" s="495"/>
      <c r="G260" s="495"/>
      <c r="H260" s="495"/>
      <c r="I260" s="495"/>
      <c r="J260" s="682"/>
      <c r="K260" s="286"/>
      <c r="L260" s="286"/>
      <c r="M260" s="286"/>
      <c r="N260" s="286"/>
      <c r="O260" s="495"/>
      <c r="P260" s="495"/>
      <c r="Q260" s="495"/>
      <c r="R260" s="495"/>
      <c r="S260" s="495"/>
      <c r="T260" s="495"/>
      <c r="U260" s="495"/>
    </row>
    <row r="261" spans="2:21">
      <c r="B261" s="571"/>
      <c r="C261" s="572"/>
      <c r="D261" s="18"/>
      <c r="E261" s="495"/>
      <c r="F261" s="495"/>
      <c r="G261" s="495"/>
      <c r="H261" s="495"/>
      <c r="I261" s="495"/>
      <c r="J261" s="682"/>
      <c r="K261" s="286"/>
      <c r="L261" s="286"/>
      <c r="M261" s="286"/>
      <c r="N261" s="286"/>
      <c r="O261" s="495"/>
      <c r="P261" s="495"/>
      <c r="Q261" s="495"/>
      <c r="R261" s="495"/>
      <c r="S261" s="495"/>
      <c r="T261" s="495"/>
      <c r="U261" s="495"/>
    </row>
    <row r="262" spans="2:21">
      <c r="B262" s="571" t="s">
        <v>290</v>
      </c>
      <c r="C262" s="572"/>
      <c r="D262" s="2275" t="s">
        <v>926</v>
      </c>
      <c r="E262" s="2274"/>
      <c r="F262" s="2274"/>
      <c r="G262" s="2274"/>
      <c r="H262" s="2274"/>
      <c r="I262" s="2274"/>
      <c r="J262" s="2274"/>
      <c r="K262" s="286"/>
      <c r="L262" s="286"/>
      <c r="M262" s="286"/>
      <c r="N262" s="286"/>
      <c r="O262" s="495"/>
      <c r="P262" s="495"/>
      <c r="Q262" s="495"/>
      <c r="R262" s="495"/>
      <c r="S262" s="495"/>
      <c r="T262" s="495"/>
      <c r="U262" s="495"/>
    </row>
    <row r="263" spans="2:21">
      <c r="B263" s="571"/>
      <c r="C263" s="572"/>
      <c r="D263" s="2274"/>
      <c r="E263" s="2274"/>
      <c r="F263" s="2274"/>
      <c r="G263" s="2274"/>
      <c r="H263" s="2274"/>
      <c r="I263" s="2274"/>
      <c r="J263" s="2274"/>
      <c r="K263" s="286"/>
      <c r="L263" s="286"/>
      <c r="M263" s="286"/>
      <c r="N263" s="286"/>
      <c r="O263" s="495"/>
      <c r="P263" s="495"/>
      <c r="Q263" s="495"/>
      <c r="R263" s="495"/>
      <c r="S263" s="495"/>
      <c r="T263" s="495"/>
      <c r="U263" s="495"/>
    </row>
    <row r="264" spans="2:21">
      <c r="B264" s="571"/>
      <c r="C264" s="572"/>
      <c r="E264" s="495"/>
      <c r="F264" s="495"/>
      <c r="G264" s="495"/>
      <c r="H264" s="495"/>
      <c r="I264" s="495"/>
      <c r="J264" s="682"/>
      <c r="K264" s="286"/>
      <c r="L264" s="286"/>
      <c r="M264" s="286"/>
      <c r="N264" s="286"/>
      <c r="O264" s="495"/>
      <c r="P264" s="495"/>
      <c r="Q264" s="495"/>
      <c r="R264" s="495"/>
      <c r="S264" s="495"/>
      <c r="T264" s="495"/>
      <c r="U264" s="495"/>
    </row>
    <row r="265" spans="2:21">
      <c r="B265" s="571" t="s">
        <v>291</v>
      </c>
      <c r="C265" s="572"/>
      <c r="D265" s="495" t="s">
        <v>201</v>
      </c>
      <c r="E265" s="495"/>
      <c r="F265" s="495"/>
      <c r="G265" s="495"/>
      <c r="H265" s="495"/>
      <c r="I265" s="495"/>
      <c r="J265" s="682"/>
      <c r="K265" s="286"/>
      <c r="L265" s="286"/>
      <c r="M265" s="286"/>
      <c r="N265" s="286"/>
      <c r="O265" s="495"/>
      <c r="P265" s="495"/>
      <c r="Q265" s="495"/>
      <c r="R265" s="495"/>
      <c r="S265" s="495"/>
      <c r="T265" s="495"/>
      <c r="U265" s="495"/>
    </row>
    <row r="266" spans="2:21">
      <c r="B266" s="571"/>
      <c r="C266" s="572"/>
      <c r="D266" s="495" t="s">
        <v>417</v>
      </c>
      <c r="E266" s="495"/>
      <c r="F266" s="495"/>
      <c r="G266" s="495"/>
      <c r="H266" s="495"/>
      <c r="I266" s="495"/>
      <c r="J266" s="682"/>
      <c r="K266" s="286"/>
      <c r="L266" s="286"/>
      <c r="M266" s="286"/>
      <c r="N266" s="286"/>
      <c r="O266" s="495"/>
      <c r="P266" s="495"/>
      <c r="Q266" s="495"/>
      <c r="R266" s="495"/>
      <c r="S266" s="495"/>
      <c r="T266" s="495"/>
      <c r="U266" s="495"/>
    </row>
    <row r="267" spans="2:21">
      <c r="C267" s="572"/>
      <c r="D267" s="495" t="s">
        <v>649</v>
      </c>
      <c r="E267" s="495"/>
      <c r="F267" s="495"/>
      <c r="G267" s="495"/>
      <c r="H267" s="495"/>
      <c r="I267" s="495"/>
      <c r="J267" s="682"/>
      <c r="K267" s="286"/>
      <c r="L267" s="286"/>
      <c r="M267" s="286"/>
      <c r="N267" s="286"/>
      <c r="O267" s="495"/>
      <c r="P267" s="495"/>
      <c r="Q267" s="495"/>
      <c r="R267" s="495"/>
      <c r="S267" s="495"/>
      <c r="T267" s="495"/>
      <c r="U267" s="495"/>
    </row>
    <row r="268" spans="2:21">
      <c r="B268" s="571"/>
      <c r="C268" s="572"/>
      <c r="D268" s="495" t="s">
        <v>202</v>
      </c>
      <c r="E268" s="495"/>
      <c r="F268" s="495"/>
      <c r="G268" s="495"/>
      <c r="H268" s="495"/>
      <c r="I268" s="495"/>
      <c r="J268" s="682"/>
      <c r="K268" s="286"/>
      <c r="L268" s="286"/>
      <c r="M268" s="286"/>
      <c r="N268" s="286"/>
      <c r="O268" s="495"/>
      <c r="P268" s="495"/>
      <c r="Q268" s="495"/>
      <c r="R268" s="495"/>
      <c r="S268" s="495"/>
      <c r="T268" s="495"/>
      <c r="U268" s="495"/>
    </row>
    <row r="269" spans="2:21">
      <c r="B269" s="571"/>
      <c r="C269" s="572"/>
      <c r="D269" s="495"/>
      <c r="E269" s="495"/>
      <c r="F269" s="495"/>
      <c r="G269" s="495"/>
      <c r="H269" s="495"/>
      <c r="I269" s="495"/>
      <c r="J269" s="682"/>
      <c r="K269" s="286"/>
      <c r="L269" s="286"/>
      <c r="M269" s="286"/>
      <c r="N269" s="286"/>
      <c r="O269" s="495"/>
      <c r="P269" s="495"/>
      <c r="Q269" s="495"/>
      <c r="R269" s="495"/>
      <c r="S269" s="495"/>
      <c r="T269" s="495"/>
      <c r="U269" s="495"/>
    </row>
    <row r="270" spans="2:21">
      <c r="B270" s="571" t="s">
        <v>292</v>
      </c>
      <c r="C270" s="572"/>
      <c r="D270" s="495" t="s">
        <v>136</v>
      </c>
      <c r="E270" s="495"/>
      <c r="F270" s="495"/>
      <c r="G270" s="495"/>
      <c r="H270" s="495"/>
      <c r="I270" s="495"/>
      <c r="J270" s="682"/>
      <c r="K270" s="286"/>
      <c r="L270" s="286"/>
      <c r="M270" s="286"/>
      <c r="N270" s="286"/>
      <c r="O270" s="495"/>
      <c r="P270" s="495"/>
      <c r="Q270" s="495"/>
      <c r="R270" s="495"/>
      <c r="S270" s="495"/>
      <c r="T270" s="495"/>
      <c r="U270" s="495"/>
    </row>
    <row r="271" spans="2:21">
      <c r="B271" s="571"/>
      <c r="C271" s="572"/>
      <c r="D271" s="495"/>
      <c r="E271" s="495"/>
      <c r="F271" s="495"/>
      <c r="G271" s="495"/>
      <c r="H271" s="495"/>
      <c r="I271" s="495"/>
      <c r="J271" s="682"/>
      <c r="K271" s="286"/>
      <c r="L271" s="286"/>
      <c r="M271" s="286"/>
      <c r="N271" s="286"/>
      <c r="O271" s="495"/>
      <c r="P271" s="495"/>
      <c r="Q271" s="495"/>
      <c r="R271" s="495"/>
      <c r="S271" s="495"/>
      <c r="T271" s="495"/>
      <c r="U271" s="495"/>
    </row>
    <row r="272" spans="2:21">
      <c r="B272" s="571" t="s">
        <v>293</v>
      </c>
      <c r="C272" s="572"/>
      <c r="D272" s="495" t="str">
        <f>"Cash Working Capital assigned to transmission is one-eighth of O&amp;M allocated to transmission on line "&amp;B134&amp;"."</f>
        <v>Cash Working Capital assigned to transmission is one-eighth of O&amp;M allocated to transmission on line 70.</v>
      </c>
      <c r="E272" s="495"/>
      <c r="F272" s="495"/>
      <c r="G272" s="495"/>
      <c r="H272" s="495"/>
      <c r="I272" s="495"/>
      <c r="J272" s="682"/>
      <c r="K272" s="286"/>
      <c r="L272" s="286"/>
      <c r="M272" s="286"/>
      <c r="N272" s="286"/>
      <c r="O272" s="495"/>
      <c r="P272" s="495"/>
      <c r="Q272" s="495"/>
      <c r="R272" s="495"/>
      <c r="S272" s="495"/>
      <c r="T272" s="495"/>
      <c r="U272" s="495"/>
    </row>
    <row r="273" spans="2:21">
      <c r="B273" s="571"/>
      <c r="C273" s="572"/>
      <c r="D273" s="495"/>
      <c r="E273" s="495"/>
      <c r="F273" s="495"/>
      <c r="G273" s="495"/>
      <c r="H273" s="495"/>
      <c r="I273" s="495"/>
      <c r="J273" s="682"/>
      <c r="K273" s="286"/>
      <c r="L273" s="286"/>
      <c r="M273" s="286"/>
      <c r="N273" s="286"/>
      <c r="O273" s="495"/>
      <c r="P273" s="495"/>
      <c r="Q273" s="495"/>
      <c r="R273" s="495"/>
      <c r="S273" s="495"/>
      <c r="T273" s="495"/>
      <c r="U273" s="495"/>
    </row>
    <row r="274" spans="2:21">
      <c r="B274" s="636" t="s">
        <v>294</v>
      </c>
      <c r="C274" s="633"/>
      <c r="D274" s="497" t="str">
        <f>"Consistent with Paragraph 657 of Order 2003-A, the amount on line "&amp;B116&amp;" is equal to the balance of IPP System Upgrade Credits owed to transmission customers that"</f>
        <v>Consistent with Paragraph 657 of Order 2003-A, the amount on line  is equal to the balance of IPP System Upgrade Credits owed to transmission customers that</v>
      </c>
      <c r="J274" s="630"/>
      <c r="K274" s="286"/>
      <c r="L274" s="286"/>
      <c r="M274" s="286"/>
      <c r="N274" s="286"/>
      <c r="O274" s="495"/>
      <c r="P274" s="495"/>
      <c r="Q274" s="495"/>
      <c r="R274" s="495"/>
      <c r="S274" s="495"/>
      <c r="T274" s="495"/>
      <c r="U274" s="495"/>
    </row>
    <row r="275" spans="2:21">
      <c r="D275" s="497" t="s">
        <v>355</v>
      </c>
      <c r="J275" s="630"/>
      <c r="K275" s="286"/>
      <c r="L275" s="286"/>
      <c r="M275" s="286"/>
      <c r="N275" s="286"/>
      <c r="O275" s="495"/>
      <c r="P275" s="495"/>
      <c r="Q275" s="495"/>
      <c r="R275" s="495"/>
      <c r="S275" s="495"/>
      <c r="T275" s="495"/>
      <c r="U275" s="495"/>
    </row>
    <row r="276" spans="2:21">
      <c r="D276" s="497" t="str">
        <f>"expense is included on line "&amp;B186&amp;"."</f>
        <v>expense is included on line 113.</v>
      </c>
      <c r="J276" s="630"/>
      <c r="K276" s="286"/>
      <c r="L276" s="286"/>
      <c r="M276" s="286"/>
      <c r="N276" s="286"/>
      <c r="O276" s="495"/>
      <c r="P276" s="495"/>
      <c r="Q276" s="495"/>
      <c r="R276" s="495"/>
      <c r="S276" s="495"/>
      <c r="T276" s="495"/>
      <c r="U276" s="495"/>
    </row>
    <row r="277" spans="2:21">
      <c r="J277" s="630"/>
      <c r="K277" s="286"/>
      <c r="L277" s="286"/>
      <c r="M277" s="286"/>
      <c r="N277" s="286"/>
      <c r="O277" s="495"/>
      <c r="P277" s="495"/>
      <c r="Q277" s="495"/>
      <c r="R277" s="495"/>
      <c r="S277" s="495"/>
      <c r="T277" s="495"/>
      <c r="U277" s="495"/>
    </row>
    <row r="278" spans="2:21" ht="20.25" customHeight="1">
      <c r="B278" s="636" t="s">
        <v>295</v>
      </c>
      <c r="D278" s="2263" t="str">
        <f>"Line "&amp;B129&amp;"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278" s="2263"/>
      <c r="F278" s="2263"/>
      <c r="G278" s="2263"/>
      <c r="H278" s="2263"/>
      <c r="I278" s="2263"/>
      <c r="J278" s="2263"/>
      <c r="K278" s="286"/>
      <c r="L278" s="286"/>
      <c r="M278" s="286"/>
      <c r="N278" s="286"/>
      <c r="O278" s="495"/>
      <c r="P278" s="495"/>
      <c r="Q278" s="495"/>
      <c r="R278" s="495"/>
      <c r="S278" s="495"/>
      <c r="T278" s="495"/>
      <c r="U278" s="495"/>
    </row>
    <row r="279" spans="2:21">
      <c r="B279" s="636"/>
      <c r="D279" s="495"/>
      <c r="J279" s="630"/>
      <c r="K279" s="286"/>
      <c r="L279" s="286"/>
      <c r="M279" s="286"/>
      <c r="N279" s="286"/>
      <c r="O279" s="495"/>
      <c r="P279" s="495"/>
      <c r="Q279" s="495"/>
      <c r="R279" s="495"/>
      <c r="S279" s="495"/>
      <c r="T279" s="495"/>
      <c r="U279" s="495"/>
    </row>
    <row r="280" spans="2:21">
      <c r="B280" s="636" t="s">
        <v>296</v>
      </c>
      <c r="D280" s="497" t="s">
        <v>137</v>
      </c>
      <c r="J280" s="630"/>
      <c r="K280" s="286"/>
      <c r="L280" s="286"/>
      <c r="M280" s="286"/>
      <c r="N280" s="286"/>
      <c r="O280" s="495"/>
      <c r="P280" s="495"/>
      <c r="Q280" s="495"/>
      <c r="R280" s="495"/>
      <c r="S280" s="495"/>
      <c r="T280" s="495"/>
      <c r="U280" s="495"/>
    </row>
    <row r="281" spans="2:21">
      <c r="B281" s="636"/>
      <c r="J281" s="630"/>
      <c r="K281" s="286"/>
      <c r="L281" s="286"/>
      <c r="M281" s="286"/>
      <c r="N281" s="286"/>
      <c r="O281" s="495"/>
      <c r="P281" s="495"/>
      <c r="Q281" s="495"/>
      <c r="R281" s="495"/>
      <c r="S281" s="495"/>
      <c r="T281" s="495"/>
      <c r="U281" s="495"/>
    </row>
    <row r="282" spans="2:21">
      <c r="B282" s="571" t="s">
        <v>297</v>
      </c>
      <c r="D282" s="497" t="s">
        <v>689</v>
      </c>
      <c r="J282" s="630"/>
      <c r="K282" s="286"/>
      <c r="L282" s="286"/>
      <c r="M282" s="286"/>
      <c r="N282" s="286"/>
      <c r="O282" s="495"/>
      <c r="P282" s="495"/>
      <c r="Q282" s="495"/>
      <c r="R282" s="495"/>
      <c r="S282" s="495"/>
      <c r="T282" s="495"/>
      <c r="U282" s="495"/>
    </row>
    <row r="283" spans="2:21">
      <c r="B283" s="636"/>
      <c r="J283" s="630"/>
      <c r="K283" s="286"/>
      <c r="L283" s="286"/>
      <c r="M283" s="286"/>
      <c r="N283" s="286"/>
      <c r="O283" s="495"/>
      <c r="P283" s="495"/>
      <c r="Q283" s="495"/>
      <c r="R283" s="495"/>
      <c r="S283" s="495"/>
      <c r="T283" s="495"/>
      <c r="U283" s="495"/>
    </row>
    <row r="284" spans="2:21">
      <c r="B284" s="571" t="s">
        <v>298</v>
      </c>
      <c r="C284" s="572"/>
      <c r="D284" s="495" t="s">
        <v>927</v>
      </c>
      <c r="E284" s="495"/>
      <c r="F284" s="495"/>
      <c r="G284" s="495"/>
      <c r="H284" s="495"/>
      <c r="I284" s="495"/>
      <c r="J284" s="682"/>
      <c r="K284" s="286"/>
      <c r="L284" s="286"/>
      <c r="M284" s="286"/>
      <c r="N284" s="286"/>
      <c r="O284" s="495"/>
      <c r="P284" s="495"/>
      <c r="Q284" s="495"/>
      <c r="R284" s="495"/>
      <c r="S284" s="495"/>
      <c r="T284" s="495"/>
      <c r="U284" s="495"/>
    </row>
    <row r="285" spans="2:21">
      <c r="B285" s="571"/>
      <c r="C285" s="572"/>
      <c r="D285" s="495" t="s">
        <v>138</v>
      </c>
      <c r="E285" s="495"/>
      <c r="F285" s="495"/>
      <c r="G285" s="495"/>
      <c r="H285" s="495"/>
      <c r="I285" s="495"/>
      <c r="J285" s="682"/>
      <c r="K285" s="286"/>
      <c r="L285" s="286"/>
      <c r="M285" s="286"/>
      <c r="N285" s="286"/>
      <c r="O285" s="495"/>
      <c r="P285" s="495"/>
      <c r="Q285" s="495"/>
      <c r="R285" s="495"/>
      <c r="S285" s="495"/>
      <c r="T285" s="495"/>
      <c r="U285" s="495"/>
    </row>
    <row r="286" spans="2:21">
      <c r="B286" s="571"/>
      <c r="C286" s="572"/>
      <c r="D286" s="495" t="s">
        <v>139</v>
      </c>
      <c r="E286" s="495"/>
      <c r="F286" s="495"/>
      <c r="G286" s="495"/>
      <c r="H286" s="495"/>
      <c r="I286" s="495"/>
      <c r="J286" s="682"/>
      <c r="K286" s="286"/>
      <c r="L286" s="286"/>
      <c r="M286" s="286"/>
      <c r="N286" s="286"/>
      <c r="O286" s="495"/>
      <c r="P286" s="495"/>
      <c r="Q286" s="495"/>
      <c r="R286" s="495"/>
      <c r="S286" s="495"/>
      <c r="T286" s="495"/>
      <c r="U286" s="495"/>
    </row>
    <row r="287" spans="2:21">
      <c r="B287" s="571"/>
      <c r="C287" s="572"/>
      <c r="D287" s="497" t="s">
        <v>928</v>
      </c>
      <c r="E287" s="495"/>
      <c r="F287" s="495"/>
      <c r="G287" s="495"/>
      <c r="H287" s="495"/>
      <c r="I287" s="495"/>
      <c r="J287" s="682"/>
      <c r="K287" s="286"/>
      <c r="L287" s="286"/>
      <c r="M287" s="286"/>
      <c r="N287" s="286"/>
      <c r="O287" s="495"/>
      <c r="P287" s="495"/>
      <c r="Q287" s="495"/>
      <c r="R287" s="495"/>
      <c r="S287" s="495"/>
      <c r="T287" s="495"/>
      <c r="U287" s="495"/>
    </row>
    <row r="288" spans="2:21">
      <c r="B288" s="571"/>
      <c r="C288" s="572"/>
      <c r="E288" s="495"/>
      <c r="F288" s="495"/>
      <c r="G288" s="495"/>
      <c r="H288" s="495"/>
      <c r="I288" s="495"/>
      <c r="J288" s="682"/>
      <c r="K288" s="286"/>
      <c r="L288" s="286"/>
      <c r="M288" s="286"/>
      <c r="N288" s="286"/>
      <c r="O288" s="495"/>
      <c r="P288" s="495"/>
      <c r="Q288" s="495"/>
      <c r="R288" s="495"/>
      <c r="S288" s="495"/>
      <c r="T288" s="495"/>
      <c r="U288" s="495"/>
    </row>
    <row r="289" spans="2:21" ht="62.25" customHeight="1">
      <c r="B289" s="683" t="s">
        <v>299</v>
      </c>
      <c r="C289" s="572"/>
      <c r="D289" s="2271" t="s">
        <v>684</v>
      </c>
      <c r="E289" s="2271"/>
      <c r="F289" s="2271"/>
      <c r="G289" s="2271"/>
      <c r="H289" s="2271"/>
      <c r="I289" s="2271"/>
      <c r="J289" s="2271"/>
      <c r="K289" s="286"/>
      <c r="L289" s="286"/>
      <c r="M289" s="286"/>
      <c r="N289" s="286"/>
      <c r="O289" s="495"/>
      <c r="P289" s="495"/>
      <c r="Q289" s="495"/>
      <c r="R289" s="495"/>
      <c r="S289" s="495"/>
      <c r="T289" s="495"/>
      <c r="U289" s="495"/>
    </row>
    <row r="290" spans="2:21">
      <c r="B290" s="633"/>
      <c r="C290" s="572"/>
      <c r="E290" s="495"/>
      <c r="F290" s="495"/>
      <c r="G290" s="495"/>
      <c r="H290" s="495"/>
      <c r="I290" s="495"/>
      <c r="J290" s="682"/>
      <c r="K290" s="286"/>
      <c r="L290" s="286"/>
      <c r="M290" s="286"/>
      <c r="N290" s="286"/>
      <c r="O290" s="495"/>
      <c r="P290" s="495"/>
      <c r="Q290" s="495"/>
      <c r="R290" s="495"/>
      <c r="S290" s="495"/>
      <c r="T290" s="495"/>
      <c r="U290" s="495"/>
    </row>
    <row r="291" spans="2:21" ht="30.75" customHeight="1">
      <c r="B291" s="683" t="s">
        <v>367</v>
      </c>
      <c r="C291" s="572"/>
      <c r="D291" s="2273" t="s">
        <v>650</v>
      </c>
      <c r="E291" s="2273"/>
      <c r="F291" s="2273"/>
      <c r="G291" s="2273"/>
      <c r="H291" s="2273"/>
      <c r="I291" s="2273"/>
      <c r="J291" s="2273"/>
      <c r="K291" s="286"/>
      <c r="L291" s="286"/>
      <c r="M291" s="286"/>
      <c r="N291" s="286"/>
      <c r="O291" s="495"/>
      <c r="P291" s="495"/>
      <c r="Q291" s="495"/>
      <c r="R291" s="495"/>
      <c r="S291" s="495"/>
      <c r="T291" s="495"/>
      <c r="U291" s="495"/>
    </row>
    <row r="292" spans="2:21">
      <c r="C292" s="572"/>
      <c r="D292" s="684"/>
      <c r="E292" s="684"/>
      <c r="F292" s="684"/>
      <c r="G292" s="684"/>
      <c r="H292" s="684"/>
      <c r="I292" s="684"/>
      <c r="J292" s="684"/>
      <c r="K292" s="286"/>
      <c r="L292" s="286"/>
      <c r="M292" s="286"/>
      <c r="N292" s="286"/>
      <c r="O292" s="495"/>
      <c r="P292" s="495"/>
      <c r="Q292" s="495"/>
      <c r="R292" s="495"/>
      <c r="S292" s="495"/>
      <c r="T292" s="495"/>
      <c r="U292" s="495"/>
    </row>
    <row r="293" spans="2:21">
      <c r="B293" s="571" t="s">
        <v>388</v>
      </c>
      <c r="C293" s="572"/>
      <c r="D293" s="495" t="s">
        <v>409</v>
      </c>
      <c r="E293" s="495"/>
      <c r="F293" s="495"/>
      <c r="G293" s="495"/>
      <c r="H293" s="495"/>
      <c r="I293" s="495"/>
      <c r="J293" s="682"/>
      <c r="K293" s="286"/>
      <c r="L293" s="286"/>
      <c r="M293" s="286"/>
      <c r="N293" s="286"/>
      <c r="O293" s="495"/>
      <c r="P293" s="495"/>
      <c r="Q293" s="495"/>
      <c r="R293" s="495"/>
      <c r="S293" s="495"/>
      <c r="T293" s="495"/>
      <c r="U293" s="495"/>
    </row>
    <row r="294" spans="2:21">
      <c r="B294" s="571"/>
      <c r="C294" s="572"/>
      <c r="D294" s="495" t="s">
        <v>2</v>
      </c>
      <c r="E294" s="495"/>
      <c r="F294" s="495"/>
      <c r="G294" s="495"/>
      <c r="H294" s="495"/>
      <c r="I294" s="495"/>
      <c r="J294" s="682"/>
      <c r="K294" s="286"/>
      <c r="L294" s="286"/>
      <c r="M294" s="286"/>
      <c r="N294" s="286"/>
      <c r="O294" s="495"/>
      <c r="P294" s="495"/>
      <c r="Q294" s="495"/>
      <c r="R294" s="495"/>
      <c r="S294" s="495"/>
      <c r="T294" s="495"/>
      <c r="U294" s="495"/>
    </row>
    <row r="295" spans="2:21">
      <c r="B295" s="571"/>
      <c r="C295" s="572"/>
      <c r="D295" s="495" t="s">
        <v>3</v>
      </c>
      <c r="E295" s="495"/>
      <c r="F295" s="495"/>
      <c r="G295" s="495"/>
      <c r="H295" s="495"/>
      <c r="I295" s="495"/>
      <c r="J295" s="682"/>
      <c r="K295" s="286"/>
      <c r="L295" s="286"/>
      <c r="M295" s="286"/>
      <c r="N295" s="286"/>
      <c r="O295" s="495"/>
      <c r="P295" s="495"/>
      <c r="Q295" s="495"/>
      <c r="R295" s="495"/>
      <c r="S295" s="495"/>
      <c r="T295" s="495"/>
      <c r="U295" s="495"/>
    </row>
    <row r="296" spans="2:21">
      <c r="B296" s="571"/>
      <c r="C296" s="572"/>
      <c r="D296" s="495" t="s">
        <v>4</v>
      </c>
      <c r="E296" s="495"/>
      <c r="F296" s="495"/>
      <c r="G296" s="495"/>
      <c r="H296" s="495"/>
      <c r="I296" s="495"/>
      <c r="J296" s="682"/>
      <c r="K296" s="286"/>
      <c r="L296" s="286"/>
      <c r="M296" s="286"/>
      <c r="N296" s="286"/>
      <c r="O296" s="495"/>
      <c r="P296" s="495"/>
      <c r="Q296" s="495"/>
      <c r="R296" s="495"/>
      <c r="S296" s="495"/>
      <c r="T296" s="495"/>
      <c r="U296" s="495"/>
    </row>
    <row r="297" spans="2:21">
      <c r="B297" s="571"/>
      <c r="C297" s="572"/>
      <c r="D297" s="495" t="s">
        <v>5</v>
      </c>
      <c r="E297" s="495"/>
      <c r="F297" s="495"/>
      <c r="G297" s="495"/>
      <c r="H297" s="495"/>
      <c r="I297" s="495"/>
      <c r="J297" s="682"/>
      <c r="K297" s="286"/>
      <c r="L297" s="286"/>
      <c r="M297" s="286"/>
      <c r="N297" s="286"/>
      <c r="O297" s="495"/>
      <c r="P297" s="495"/>
      <c r="Q297" s="495"/>
      <c r="R297" s="495"/>
      <c r="S297" s="495"/>
      <c r="T297" s="495"/>
      <c r="U297" s="495"/>
    </row>
    <row r="298" spans="2:21">
      <c r="B298" s="571"/>
      <c r="C298" s="572"/>
      <c r="D298" s="495" t="str">
        <f>"(ln "&amp;B168&amp;") multiplied by (1/1-T) .  If the applicable tax rates are zero enter 0."</f>
        <v>(ln 99) multiplied by (1/1-T) .  If the applicable tax rates are zero enter 0.</v>
      </c>
      <c r="E298" s="495"/>
      <c r="F298" s="495"/>
      <c r="G298" s="495"/>
      <c r="H298" s="495"/>
      <c r="I298" s="495"/>
      <c r="J298" s="682"/>
      <c r="K298" s="286"/>
      <c r="L298" s="286"/>
      <c r="M298" s="286"/>
      <c r="N298" s="286"/>
      <c r="O298" s="495"/>
      <c r="P298" s="495"/>
      <c r="Q298" s="495"/>
      <c r="R298" s="495"/>
      <c r="S298" s="495"/>
      <c r="T298" s="495"/>
      <c r="U298" s="495"/>
    </row>
    <row r="299" spans="2:21">
      <c r="B299" s="571" t="s">
        <v>254</v>
      </c>
      <c r="C299" s="572"/>
      <c r="D299" s="495" t="s">
        <v>6</v>
      </c>
      <c r="E299" s="495" t="s">
        <v>7</v>
      </c>
      <c r="F299" s="676">
        <v>0.21</v>
      </c>
      <c r="G299" s="495"/>
      <c r="I299" s="495"/>
      <c r="J299" s="682"/>
      <c r="K299" s="286"/>
      <c r="L299" s="286"/>
      <c r="M299" s="286"/>
      <c r="N299" s="286"/>
      <c r="O299" s="495"/>
      <c r="P299" s="495"/>
      <c r="Q299" s="495"/>
      <c r="R299" s="495"/>
      <c r="S299" s="495"/>
      <c r="T299" s="495"/>
      <c r="U299" s="495"/>
    </row>
    <row r="300" spans="2:21">
      <c r="B300" s="571"/>
      <c r="C300" s="572"/>
      <c r="D300" s="495"/>
      <c r="E300" s="495" t="s">
        <v>8</v>
      </c>
      <c r="F300" s="593">
        <f>+'PSO WS K State Taxes'!F29</f>
        <v>3.8300000000000001E-2</v>
      </c>
      <c r="G300" s="495" t="s">
        <v>116</v>
      </c>
      <c r="I300" s="495"/>
      <c r="J300" s="682"/>
      <c r="K300" s="286"/>
      <c r="L300" s="286"/>
      <c r="M300" s="286"/>
      <c r="N300" s="286"/>
      <c r="O300" s="495"/>
      <c r="P300" s="495"/>
      <c r="Q300" s="495"/>
      <c r="R300" s="495"/>
      <c r="S300" s="495"/>
      <c r="T300" s="495"/>
      <c r="U300" s="495"/>
    </row>
    <row r="301" spans="2:21">
      <c r="B301" s="571"/>
      <c r="C301" s="572"/>
      <c r="D301" s="495"/>
      <c r="E301" s="495" t="s">
        <v>9</v>
      </c>
      <c r="F301" s="676">
        <v>0</v>
      </c>
      <c r="G301" s="495" t="s">
        <v>10</v>
      </c>
      <c r="I301" s="495"/>
      <c r="J301" s="682"/>
      <c r="K301" s="286"/>
      <c r="L301" s="286"/>
      <c r="M301" s="286"/>
      <c r="N301" s="286"/>
      <c r="O301" s="495"/>
      <c r="P301" s="495"/>
      <c r="Q301" s="495"/>
      <c r="R301" s="495"/>
      <c r="S301" s="495"/>
      <c r="T301" s="495"/>
      <c r="U301" s="495"/>
    </row>
    <row r="302" spans="2:21" ht="39.75" customHeight="1">
      <c r="B302" s="571"/>
      <c r="C302" s="572"/>
      <c r="D302" s="2272" t="s">
        <v>937</v>
      </c>
      <c r="E302" s="2272"/>
      <c r="F302" s="2272"/>
      <c r="G302" s="2272"/>
      <c r="H302" s="2272"/>
      <c r="I302" s="2272"/>
      <c r="J302" s="2272"/>
      <c r="K302" s="685"/>
      <c r="L302" s="685"/>
      <c r="M302" s="286"/>
      <c r="N302" s="286"/>
      <c r="O302" s="495"/>
      <c r="P302" s="495"/>
      <c r="Q302" s="495"/>
      <c r="R302" s="495"/>
      <c r="S302" s="495"/>
      <c r="T302" s="495"/>
      <c r="U302" s="495"/>
    </row>
    <row r="303" spans="2:21">
      <c r="B303" s="571"/>
      <c r="C303" s="572"/>
      <c r="D303" s="495"/>
      <c r="E303" s="495"/>
      <c r="F303" s="593"/>
      <c r="G303" s="495"/>
      <c r="I303" s="495"/>
      <c r="J303" s="682"/>
      <c r="K303" s="286"/>
      <c r="L303" s="286"/>
      <c r="M303" s="286"/>
      <c r="N303" s="286"/>
      <c r="O303" s="495"/>
      <c r="P303" s="495"/>
      <c r="Q303" s="495"/>
      <c r="R303" s="495"/>
      <c r="S303" s="495"/>
      <c r="T303" s="495"/>
      <c r="U303" s="495"/>
    </row>
    <row r="304" spans="2:21">
      <c r="B304" s="571"/>
      <c r="C304" s="572"/>
      <c r="D304" s="495"/>
      <c r="E304" s="495"/>
      <c r="F304" s="593"/>
      <c r="G304" s="495"/>
      <c r="I304" s="495"/>
      <c r="J304" s="682"/>
      <c r="K304" s="286"/>
      <c r="L304" s="286"/>
      <c r="M304" s="286"/>
      <c r="N304" s="286"/>
      <c r="O304" s="495"/>
      <c r="P304" s="495"/>
      <c r="Q304" s="495"/>
      <c r="R304" s="495"/>
      <c r="S304" s="495"/>
      <c r="T304" s="495"/>
      <c r="U304" s="495"/>
    </row>
    <row r="305" spans="2:21">
      <c r="B305" s="571" t="s">
        <v>11</v>
      </c>
      <c r="C305" s="572"/>
      <c r="D305" s="495" t="s">
        <v>685</v>
      </c>
      <c r="E305" s="495"/>
      <c r="F305" s="495"/>
      <c r="G305" s="593"/>
      <c r="H305" s="495"/>
      <c r="I305" s="495"/>
      <c r="J305" s="682"/>
      <c r="K305" s="286"/>
      <c r="L305" s="286"/>
      <c r="M305" s="286"/>
      <c r="N305" s="286"/>
      <c r="O305" s="495"/>
      <c r="P305" s="495"/>
      <c r="Q305" s="495"/>
      <c r="R305" s="495"/>
      <c r="S305" s="495"/>
      <c r="T305" s="495"/>
      <c r="U305" s="495"/>
    </row>
    <row r="306" spans="2:21">
      <c r="B306" s="571"/>
      <c r="C306" s="572"/>
      <c r="D306" s="495" t="s">
        <v>0</v>
      </c>
      <c r="E306" s="495"/>
      <c r="F306" s="495"/>
      <c r="G306" s="593"/>
      <c r="H306" s="495"/>
      <c r="I306" s="495"/>
      <c r="J306" s="682"/>
      <c r="K306" s="286"/>
      <c r="L306" s="286"/>
      <c r="M306" s="286"/>
      <c r="N306" s="286"/>
      <c r="O306" s="495"/>
      <c r="P306" s="495"/>
      <c r="Q306" s="495"/>
      <c r="R306" s="495"/>
      <c r="S306" s="495"/>
      <c r="T306" s="495"/>
      <c r="U306" s="495"/>
    </row>
    <row r="307" spans="2:21">
      <c r="B307" s="571"/>
      <c r="C307" s="572"/>
      <c r="D307" s="495"/>
      <c r="E307" s="495"/>
      <c r="F307" s="495"/>
      <c r="G307" s="593"/>
      <c r="H307" s="495"/>
      <c r="I307" s="495"/>
      <c r="J307" s="682"/>
      <c r="K307" s="286"/>
      <c r="L307" s="286"/>
      <c r="M307" s="286"/>
      <c r="N307" s="286"/>
      <c r="O307" s="495"/>
      <c r="P307" s="495"/>
      <c r="Q307" s="495"/>
      <c r="R307" s="495"/>
      <c r="S307" s="495"/>
      <c r="T307" s="495"/>
      <c r="U307" s="495"/>
    </row>
    <row r="308" spans="2:21" ht="18.75" customHeight="1">
      <c r="B308" s="686" t="s">
        <v>12</v>
      </c>
      <c r="C308" s="687"/>
      <c r="D308" s="2271" t="s">
        <v>956</v>
      </c>
      <c r="E308" s="2271"/>
      <c r="F308" s="2271"/>
      <c r="G308" s="2271"/>
      <c r="H308" s="2271"/>
      <c r="I308" s="2271"/>
      <c r="J308" s="2271"/>
      <c r="K308" s="286"/>
      <c r="L308" s="286"/>
      <c r="M308" s="286"/>
      <c r="N308" s="286"/>
      <c r="O308" s="495"/>
      <c r="P308" s="495"/>
      <c r="Q308" s="495"/>
      <c r="R308" s="495"/>
      <c r="S308" s="495"/>
      <c r="T308" s="495"/>
      <c r="U308" s="495"/>
    </row>
    <row r="309" spans="2:21">
      <c r="B309" s="497"/>
      <c r="D309" s="495"/>
      <c r="J309" s="630"/>
      <c r="K309" s="286"/>
      <c r="L309" s="286"/>
      <c r="M309" s="286"/>
      <c r="N309" s="286"/>
      <c r="O309" s="495"/>
      <c r="P309" s="495"/>
      <c r="Q309" s="495"/>
      <c r="R309" s="495"/>
      <c r="S309" s="495"/>
      <c r="T309" s="495"/>
      <c r="U309" s="495"/>
    </row>
    <row r="310" spans="2:21">
      <c r="B310" s="571" t="s">
        <v>13</v>
      </c>
      <c r="C310" s="572"/>
      <c r="D310" s="495" t="s">
        <v>532</v>
      </c>
      <c r="J310" s="630"/>
      <c r="K310" s="286"/>
      <c r="L310" s="286"/>
      <c r="M310" s="286"/>
      <c r="N310" s="286"/>
      <c r="O310" s="495"/>
      <c r="P310" s="495"/>
      <c r="Q310" s="495"/>
      <c r="R310" s="495"/>
      <c r="S310" s="495"/>
      <c r="T310" s="495"/>
      <c r="U310" s="495"/>
    </row>
    <row r="311" spans="2:21">
      <c r="B311" s="571"/>
      <c r="C311" s="572"/>
      <c r="D311" s="495"/>
      <c r="E311" s="495"/>
      <c r="F311" s="495"/>
      <c r="G311" s="495"/>
      <c r="H311" s="495"/>
      <c r="I311" s="495"/>
      <c r="J311" s="682"/>
      <c r="K311" s="286"/>
      <c r="L311" s="286"/>
      <c r="M311" s="286"/>
      <c r="N311" s="286"/>
      <c r="O311" s="495"/>
      <c r="P311" s="495"/>
      <c r="Q311" s="495"/>
      <c r="R311" s="495"/>
      <c r="S311" s="495"/>
      <c r="T311" s="495"/>
      <c r="U311" s="495"/>
    </row>
    <row r="312" spans="2:21">
      <c r="B312" s="571" t="s">
        <v>14</v>
      </c>
      <c r="C312" s="572"/>
      <c r="D312" s="495" t="s">
        <v>141</v>
      </c>
      <c r="E312" s="495"/>
      <c r="F312" s="495"/>
      <c r="G312" s="495"/>
      <c r="H312" s="495"/>
      <c r="I312" s="495"/>
      <c r="J312" s="682"/>
      <c r="K312" s="286"/>
      <c r="L312" s="286"/>
      <c r="M312" s="286"/>
      <c r="N312" s="286"/>
      <c r="O312" s="495"/>
      <c r="P312" s="495"/>
      <c r="Q312" s="495"/>
      <c r="R312" s="495"/>
      <c r="S312" s="495"/>
      <c r="T312" s="495"/>
      <c r="U312" s="495"/>
    </row>
    <row r="313" spans="2:21">
      <c r="B313" s="571"/>
      <c r="C313" s="572"/>
      <c r="D313" s="495"/>
      <c r="E313" s="495"/>
      <c r="F313" s="495"/>
      <c r="G313" s="495"/>
      <c r="H313" s="495"/>
      <c r="I313" s="495"/>
      <c r="J313" s="682"/>
      <c r="K313" s="286"/>
      <c r="L313" s="286"/>
      <c r="M313" s="286"/>
      <c r="N313" s="286"/>
      <c r="O313" s="495"/>
      <c r="P313" s="495"/>
      <c r="Q313" s="495"/>
      <c r="R313" s="495"/>
      <c r="S313" s="495"/>
      <c r="T313" s="495"/>
      <c r="U313" s="495"/>
    </row>
    <row r="314" spans="2:21" ht="20.25" customHeight="1">
      <c r="B314" s="636" t="s">
        <v>55</v>
      </c>
      <c r="C314" s="633"/>
      <c r="D314" s="495" t="str">
        <f>"Long Term Debt cost rate = Long-Term Interest (ln "&amp;B225&amp;") / Long Term Debt (ln "&amp;B235&amp;").  Preferred Stock cost rate = preferred dividends (ln "&amp;B226&amp;") / preferred outstanding (ln "&amp;B236&amp;")."</f>
        <v>Long Term Debt cost rate = Long-Term Interest (ln 132) / Long Term Debt (ln 141).  Preferred Stock cost rate = preferred dividends (ln 133) / preferred outstanding (ln 142).</v>
      </c>
      <c r="J314" s="630"/>
      <c r="M314" s="286"/>
      <c r="N314" s="286"/>
      <c r="O314" s="495"/>
      <c r="P314" s="495"/>
      <c r="Q314" s="495"/>
      <c r="R314" s="495"/>
      <c r="S314" s="495"/>
      <c r="T314" s="495"/>
      <c r="U314" s="495"/>
    </row>
    <row r="315" spans="2:21" ht="18" customHeight="1">
      <c r="D315" s="495" t="s">
        <v>1224</v>
      </c>
      <c r="J315" s="630"/>
      <c r="M315" s="286"/>
      <c r="N315" s="286"/>
      <c r="O315" s="495"/>
      <c r="P315" s="495"/>
      <c r="Q315" s="495"/>
      <c r="R315" s="495"/>
      <c r="S315" s="495"/>
      <c r="T315" s="495"/>
      <c r="U315" s="495"/>
    </row>
    <row r="316" spans="2:21" ht="17.25" customHeight="1">
      <c r="D316" s="495" t="s">
        <v>1225</v>
      </c>
      <c r="J316" s="630"/>
      <c r="M316" s="286"/>
      <c r="N316" s="286"/>
      <c r="O316" s="495"/>
      <c r="P316" s="495"/>
      <c r="Q316" s="495"/>
      <c r="R316" s="495"/>
      <c r="S316" s="495"/>
      <c r="T316" s="495"/>
      <c r="U316" s="495"/>
    </row>
    <row r="317" spans="2:21" ht="45" customHeight="1">
      <c r="D317" s="2263" t="s">
        <v>634</v>
      </c>
      <c r="E317" s="2263"/>
      <c r="F317" s="2263"/>
      <c r="G317" s="2263"/>
      <c r="H317" s="2263"/>
      <c r="I317" s="2263"/>
      <c r="J317" s="2263"/>
      <c r="M317" s="286"/>
      <c r="N317" s="286"/>
      <c r="O317" s="495"/>
      <c r="P317" s="495"/>
      <c r="Q317" s="495"/>
      <c r="R317" s="495"/>
      <c r="S317" s="495"/>
      <c r="T317" s="495"/>
      <c r="U317" s="495"/>
    </row>
    <row r="318" spans="2:21" ht="14.25" customHeight="1">
      <c r="D318" s="625"/>
      <c r="E318" s="625"/>
      <c r="F318" s="625"/>
      <c r="G318" s="625"/>
      <c r="H318" s="625"/>
      <c r="I318" s="625"/>
      <c r="J318" s="625"/>
      <c r="M318" s="286"/>
      <c r="N318" s="286"/>
      <c r="O318" s="495"/>
      <c r="P318" s="495"/>
      <c r="Q318" s="495"/>
      <c r="R318" s="495"/>
      <c r="S318" s="495"/>
      <c r="T318" s="495"/>
      <c r="U318" s="495"/>
    </row>
    <row r="319" spans="2:21">
      <c r="B319" s="571" t="s">
        <v>679</v>
      </c>
      <c r="C319" s="572"/>
      <c r="D319" s="291" t="s">
        <v>759</v>
      </c>
      <c r="M319" s="286"/>
      <c r="N319" s="286"/>
      <c r="O319" s="495"/>
      <c r="P319" s="495"/>
      <c r="Q319" s="495"/>
      <c r="R319" s="495"/>
      <c r="S319" s="495"/>
      <c r="T319" s="495"/>
      <c r="U319" s="495"/>
    </row>
    <row r="320" spans="2:21">
      <c r="B320" s="571"/>
      <c r="C320" s="572"/>
      <c r="M320" s="286"/>
      <c r="N320" s="286"/>
      <c r="O320" s="495"/>
      <c r="P320" s="495"/>
      <c r="Q320" s="495"/>
      <c r="R320" s="495"/>
      <c r="S320" s="495"/>
      <c r="T320" s="495"/>
      <c r="U320" s="495"/>
    </row>
    <row r="321" spans="2:21" ht="33.75" customHeight="1">
      <c r="B321" s="686" t="s">
        <v>760</v>
      </c>
      <c r="C321" s="687"/>
      <c r="D321" s="2265" t="s">
        <v>790</v>
      </c>
      <c r="E321" s="2265"/>
      <c r="F321" s="2265"/>
      <c r="G321" s="2265"/>
      <c r="H321" s="2265"/>
      <c r="I321" s="2265"/>
      <c r="J321" s="2265"/>
      <c r="M321" s="286"/>
      <c r="N321" s="286"/>
      <c r="O321" s="495"/>
      <c r="P321" s="495"/>
      <c r="Q321" s="495"/>
      <c r="R321" s="495"/>
      <c r="S321" s="495"/>
      <c r="T321" s="495"/>
      <c r="U321" s="495"/>
    </row>
    <row r="322" spans="2:21" ht="51" customHeight="1">
      <c r="B322" s="686" t="s">
        <v>959</v>
      </c>
      <c r="C322" s="687"/>
      <c r="D322" s="2264" t="s">
        <v>960</v>
      </c>
      <c r="E322" s="2264"/>
      <c r="F322" s="2264"/>
      <c r="G322" s="2264"/>
      <c r="H322" s="2264"/>
      <c r="I322" s="2264"/>
      <c r="J322" s="2264"/>
      <c r="M322" s="286"/>
      <c r="N322" s="286"/>
      <c r="O322" s="495"/>
      <c r="P322" s="495"/>
      <c r="Q322" s="495"/>
      <c r="R322" s="495"/>
      <c r="S322" s="495"/>
      <c r="T322" s="495"/>
      <c r="U322" s="495"/>
    </row>
    <row r="323" spans="2:21" ht="52.5" customHeight="1">
      <c r="B323" s="686" t="s">
        <v>961</v>
      </c>
      <c r="C323" s="687"/>
      <c r="D323" s="2264" t="s">
        <v>962</v>
      </c>
      <c r="E323" s="2264"/>
      <c r="F323" s="2264"/>
      <c r="G323" s="2264"/>
      <c r="H323" s="2264"/>
      <c r="I323" s="2264"/>
      <c r="J323" s="2264"/>
      <c r="M323" s="286"/>
      <c r="N323" s="286"/>
      <c r="O323" s="495"/>
      <c r="P323" s="495"/>
      <c r="Q323" s="495"/>
      <c r="R323" s="495"/>
      <c r="S323" s="495"/>
      <c r="T323" s="495"/>
      <c r="U323" s="495"/>
    </row>
    <row r="324" spans="2:21">
      <c r="B324" s="286"/>
      <c r="C324" s="286"/>
      <c r="D324" s="286"/>
      <c r="E324" s="286"/>
      <c r="F324" s="286"/>
      <c r="G324" s="286"/>
      <c r="H324" s="286"/>
      <c r="M324" s="286"/>
      <c r="N324" s="286"/>
      <c r="O324" s="495"/>
      <c r="P324" s="495"/>
      <c r="Q324" s="495"/>
      <c r="R324" s="495"/>
      <c r="S324" s="495"/>
      <c r="T324" s="495"/>
      <c r="U324" s="495"/>
    </row>
    <row r="325" spans="2:21">
      <c r="B325" s="286"/>
      <c r="C325" s="286"/>
      <c r="D325" s="286"/>
      <c r="E325" s="286"/>
      <c r="F325" s="286"/>
      <c r="G325" s="286"/>
      <c r="H325" s="286"/>
      <c r="M325" s="286"/>
      <c r="N325" s="286"/>
      <c r="O325" s="495"/>
      <c r="P325" s="495"/>
      <c r="Q325" s="495"/>
      <c r="R325" s="495"/>
      <c r="S325" s="495"/>
      <c r="T325" s="495"/>
      <c r="U325" s="495"/>
    </row>
    <row r="326" spans="2:21">
      <c r="B326" s="286"/>
      <c r="C326" s="286"/>
      <c r="D326" s="286"/>
      <c r="E326" s="286"/>
      <c r="F326" s="286"/>
      <c r="G326" s="286"/>
      <c r="H326" s="286"/>
      <c r="M326" s="286"/>
      <c r="N326" s="286"/>
      <c r="O326" s="495"/>
      <c r="P326" s="495"/>
      <c r="Q326" s="495"/>
      <c r="R326" s="495"/>
      <c r="S326" s="495"/>
      <c r="T326" s="495"/>
      <c r="U326" s="495"/>
    </row>
    <row r="327" spans="2:21">
      <c r="B327" s="286"/>
      <c r="C327" s="286"/>
      <c r="D327" s="286"/>
      <c r="E327" s="286"/>
      <c r="F327" s="286"/>
      <c r="G327" s="286"/>
      <c r="H327" s="286"/>
      <c r="M327" s="286"/>
      <c r="N327" s="286"/>
      <c r="O327" s="495"/>
      <c r="P327" s="495"/>
      <c r="Q327" s="495"/>
      <c r="R327" s="495"/>
      <c r="S327" s="495"/>
      <c r="T327" s="495"/>
      <c r="U327" s="495"/>
    </row>
    <row r="328" spans="2:21">
      <c r="B328" s="286"/>
      <c r="C328" s="286"/>
      <c r="D328" s="286"/>
      <c r="E328" s="286"/>
      <c r="F328" s="286"/>
      <c r="G328" s="286"/>
      <c r="H328" s="286"/>
      <c r="M328" s="286"/>
      <c r="N328" s="286"/>
      <c r="O328" s="495"/>
      <c r="P328" s="495"/>
      <c r="Q328" s="495"/>
      <c r="R328" s="495"/>
      <c r="S328" s="495"/>
      <c r="T328" s="495"/>
      <c r="U328" s="495"/>
    </row>
    <row r="329" spans="2:21">
      <c r="B329" s="286"/>
      <c r="C329" s="286"/>
      <c r="D329" s="286"/>
      <c r="E329" s="286"/>
      <c r="F329" s="286"/>
      <c r="G329" s="286"/>
      <c r="H329" s="286"/>
      <c r="M329" s="286"/>
      <c r="N329" s="286"/>
      <c r="O329" s="495"/>
      <c r="P329" s="495"/>
      <c r="Q329" s="495"/>
      <c r="R329" s="495"/>
      <c r="S329" s="495"/>
      <c r="T329" s="495"/>
      <c r="U329" s="495"/>
    </row>
    <row r="330" spans="2:21">
      <c r="B330" s="286"/>
      <c r="C330" s="286"/>
      <c r="D330" s="286"/>
      <c r="E330" s="286"/>
      <c r="F330" s="286"/>
      <c r="G330" s="286"/>
      <c r="H330" s="286"/>
      <c r="M330" s="286"/>
      <c r="N330" s="286"/>
      <c r="O330" s="495"/>
      <c r="P330" s="495"/>
      <c r="Q330" s="495"/>
      <c r="R330" s="495"/>
      <c r="S330" s="495"/>
      <c r="T330" s="495"/>
      <c r="U330" s="495"/>
    </row>
    <row r="331" spans="2:21">
      <c r="B331" s="286"/>
      <c r="C331" s="286"/>
      <c r="D331" s="286"/>
      <c r="E331" s="286"/>
      <c r="F331" s="286"/>
      <c r="G331" s="286"/>
      <c r="H331" s="286"/>
      <c r="M331" s="286"/>
      <c r="N331" s="286"/>
      <c r="O331" s="495"/>
      <c r="P331" s="495"/>
      <c r="Q331" s="495"/>
      <c r="R331" s="495"/>
      <c r="S331" s="495"/>
      <c r="T331" s="495"/>
      <c r="U331" s="495"/>
    </row>
    <row r="332" spans="2:21">
      <c r="B332" s="571"/>
      <c r="C332" s="572"/>
      <c r="M332" s="286"/>
      <c r="N332" s="286"/>
      <c r="O332" s="495"/>
      <c r="P332" s="495"/>
      <c r="Q332" s="495"/>
      <c r="R332" s="495"/>
      <c r="S332" s="495"/>
      <c r="T332" s="495"/>
      <c r="U332" s="495"/>
    </row>
    <row r="333" spans="2:21">
      <c r="B333" s="497"/>
      <c r="M333" s="286"/>
      <c r="N333" s="286"/>
      <c r="O333" s="495"/>
      <c r="P333" s="495"/>
      <c r="Q333" s="495"/>
      <c r="R333" s="495"/>
      <c r="S333" s="495"/>
      <c r="T333" s="495"/>
      <c r="U333" s="495"/>
    </row>
    <row r="334" spans="2:21">
      <c r="B334" s="497"/>
      <c r="M334" s="286"/>
      <c r="N334" s="286"/>
      <c r="O334" s="495"/>
      <c r="P334" s="495"/>
      <c r="Q334" s="495"/>
      <c r="R334" s="495"/>
      <c r="S334" s="495"/>
      <c r="T334" s="495"/>
      <c r="U334" s="495"/>
    </row>
    <row r="335" spans="2:21">
      <c r="B335" s="497"/>
      <c r="M335" s="286"/>
      <c r="N335" s="286"/>
      <c r="O335" s="495"/>
      <c r="P335" s="495"/>
      <c r="Q335" s="495"/>
      <c r="R335" s="495"/>
      <c r="S335" s="495"/>
      <c r="T335" s="495"/>
      <c r="U335" s="495"/>
    </row>
    <row r="336" spans="2:21">
      <c r="B336" s="497"/>
      <c r="H336" s="495"/>
      <c r="I336" s="495"/>
      <c r="J336" s="495"/>
      <c r="K336" s="495"/>
      <c r="L336" s="495"/>
      <c r="M336" s="286"/>
      <c r="N336" s="286"/>
      <c r="O336" s="495"/>
      <c r="P336" s="495"/>
      <c r="Q336" s="495"/>
      <c r="R336" s="495"/>
      <c r="S336" s="495"/>
      <c r="T336" s="495"/>
      <c r="U336" s="495"/>
    </row>
    <row r="337" spans="2:21">
      <c r="B337" s="497"/>
      <c r="H337" s="495"/>
      <c r="K337" s="495"/>
      <c r="L337" s="495"/>
      <c r="M337" s="286"/>
      <c r="N337" s="286"/>
      <c r="O337" s="495"/>
      <c r="P337" s="495"/>
      <c r="Q337" s="495"/>
      <c r="R337" s="495"/>
      <c r="S337" s="495"/>
      <c r="T337" s="495"/>
      <c r="U337" s="495"/>
    </row>
    <row r="338" spans="2:21">
      <c r="B338" s="497"/>
      <c r="H338" s="495"/>
      <c r="I338" s="495"/>
      <c r="J338" s="643"/>
      <c r="K338" s="495"/>
      <c r="L338" s="495"/>
      <c r="M338" s="286"/>
      <c r="N338" s="286"/>
      <c r="O338" s="495"/>
      <c r="P338" s="495"/>
      <c r="Q338" s="495"/>
      <c r="R338" s="495"/>
      <c r="S338" s="495"/>
      <c r="T338" s="495"/>
      <c r="U338" s="495"/>
    </row>
    <row r="339" spans="2:21">
      <c r="B339" s="497"/>
      <c r="H339" s="495"/>
      <c r="I339" s="572"/>
      <c r="J339" s="643"/>
      <c r="K339" s="495"/>
      <c r="L339" s="495"/>
      <c r="M339" s="286"/>
      <c r="N339" s="286"/>
      <c r="O339" s="495"/>
      <c r="P339" s="495"/>
      <c r="Q339" s="495"/>
      <c r="R339" s="495"/>
      <c r="S339" s="495"/>
      <c r="T339" s="495"/>
      <c r="U339" s="495"/>
    </row>
    <row r="340" spans="2:21">
      <c r="B340" s="497"/>
      <c r="H340" s="495"/>
      <c r="I340" s="572"/>
      <c r="J340" s="643"/>
      <c r="K340" s="495"/>
      <c r="L340" s="495"/>
      <c r="M340" s="286"/>
      <c r="N340" s="286"/>
      <c r="O340" s="495"/>
      <c r="P340" s="495"/>
      <c r="Q340" s="495"/>
      <c r="R340" s="495"/>
      <c r="S340" s="495"/>
      <c r="T340" s="495"/>
      <c r="U340" s="495"/>
    </row>
    <row r="341" spans="2:21">
      <c r="B341" s="497"/>
      <c r="H341" s="495"/>
      <c r="I341" s="572"/>
      <c r="J341" s="643"/>
      <c r="K341" s="495"/>
      <c r="L341" s="495"/>
      <c r="M341" s="286"/>
      <c r="N341" s="286"/>
      <c r="O341" s="495"/>
      <c r="P341" s="495"/>
      <c r="Q341" s="495"/>
      <c r="R341" s="495"/>
      <c r="S341" s="495"/>
      <c r="T341" s="495"/>
      <c r="U341" s="495"/>
    </row>
    <row r="342" spans="2:21">
      <c r="B342" s="688"/>
      <c r="C342" s="495"/>
      <c r="D342" s="495"/>
      <c r="E342" s="495"/>
      <c r="F342" s="495"/>
      <c r="G342" s="495"/>
      <c r="H342" s="495"/>
      <c r="I342" s="572"/>
      <c r="J342" s="689"/>
      <c r="K342" s="495"/>
      <c r="L342" s="495"/>
      <c r="M342" s="286"/>
      <c r="N342" s="286"/>
      <c r="O342" s="495"/>
      <c r="P342" s="495"/>
      <c r="Q342" s="495"/>
      <c r="R342" s="495"/>
      <c r="S342" s="495"/>
      <c r="T342" s="495"/>
      <c r="U342" s="495"/>
    </row>
    <row r="343" spans="2:21">
      <c r="B343" s="688"/>
      <c r="C343" s="495"/>
      <c r="D343" s="495"/>
      <c r="E343" s="495"/>
      <c r="F343" s="495"/>
      <c r="G343" s="495"/>
      <c r="H343" s="495"/>
      <c r="I343" s="572"/>
      <c r="J343" s="643"/>
      <c r="K343" s="495"/>
      <c r="L343" s="495"/>
      <c r="M343" s="286"/>
      <c r="N343" s="286"/>
      <c r="O343" s="495"/>
      <c r="P343" s="495"/>
      <c r="Q343" s="495"/>
      <c r="R343" s="495"/>
      <c r="S343" s="495"/>
      <c r="T343" s="495"/>
      <c r="U343" s="495"/>
    </row>
    <row r="344" spans="2:21">
      <c r="B344" s="688"/>
      <c r="C344" s="495"/>
      <c r="D344" s="495"/>
      <c r="E344" s="495"/>
      <c r="F344" s="495"/>
      <c r="G344" s="495"/>
      <c r="H344" s="495"/>
      <c r="I344" s="572"/>
      <c r="J344" s="643"/>
      <c r="K344" s="495"/>
      <c r="L344" s="495"/>
      <c r="M344" s="286"/>
      <c r="N344" s="286"/>
      <c r="O344" s="495"/>
      <c r="P344" s="495"/>
      <c r="Q344" s="495"/>
      <c r="R344" s="495"/>
      <c r="S344" s="495"/>
      <c r="T344" s="495"/>
      <c r="U344" s="495"/>
    </row>
    <row r="345" spans="2:21">
      <c r="I345" s="572"/>
      <c r="J345" s="643"/>
      <c r="M345" s="286"/>
      <c r="N345" s="286"/>
    </row>
    <row r="346" spans="2:21">
      <c r="I346" s="572"/>
      <c r="J346" s="643"/>
      <c r="M346" s="286"/>
      <c r="N346" s="286"/>
    </row>
    <row r="347" spans="2:21">
      <c r="M347" s="286"/>
      <c r="N347" s="286"/>
    </row>
    <row r="348" spans="2:21">
      <c r="M348" s="286"/>
      <c r="N348" s="286"/>
    </row>
    <row r="349" spans="2:21">
      <c r="M349" s="286"/>
      <c r="N349" s="286"/>
    </row>
    <row r="350" spans="2:21">
      <c r="M350" s="286"/>
      <c r="N350" s="286"/>
    </row>
    <row r="351" spans="2:21">
      <c r="M351" s="286"/>
      <c r="N351" s="286"/>
    </row>
    <row r="352" spans="2:21">
      <c r="M352" s="286"/>
      <c r="N352" s="286"/>
    </row>
    <row r="353" spans="13:14">
      <c r="M353" s="286"/>
      <c r="N353" s="286"/>
    </row>
    <row r="354" spans="13:14">
      <c r="M354" s="286"/>
      <c r="N354" s="286"/>
    </row>
    <row r="355" spans="13:14">
      <c r="M355" s="286"/>
      <c r="N355" s="286"/>
    </row>
    <row r="356" spans="13:14">
      <c r="M356" s="286"/>
      <c r="N356" s="286"/>
    </row>
    <row r="357" spans="13:14">
      <c r="M357" s="286"/>
      <c r="N357" s="286"/>
    </row>
    <row r="358" spans="13:14">
      <c r="M358" s="286"/>
      <c r="N358" s="286"/>
    </row>
    <row r="359" spans="13:14">
      <c r="M359" s="286"/>
      <c r="N359" s="286"/>
    </row>
    <row r="360" spans="13:14">
      <c r="M360" s="286"/>
      <c r="N360" s="286"/>
    </row>
    <row r="361" spans="13:14">
      <c r="M361" s="286"/>
      <c r="N361" s="286"/>
    </row>
    <row r="362" spans="13:14">
      <c r="M362" s="286"/>
      <c r="N362" s="286"/>
    </row>
    <row r="363" spans="13:14">
      <c r="M363" s="286"/>
      <c r="N363" s="286"/>
    </row>
    <row r="364" spans="13:14">
      <c r="M364" s="286"/>
      <c r="N364" s="286"/>
    </row>
    <row r="365" spans="13:14">
      <c r="M365" s="286"/>
      <c r="N365" s="286"/>
    </row>
    <row r="366" spans="13:14">
      <c r="M366" s="286"/>
      <c r="N366" s="286"/>
    </row>
    <row r="367" spans="13:14">
      <c r="M367" s="286"/>
      <c r="N367" s="286"/>
    </row>
    <row r="368" spans="13:14">
      <c r="M368" s="286"/>
      <c r="N368" s="286"/>
    </row>
    <row r="369" spans="13:14">
      <c r="M369" s="286"/>
      <c r="N369" s="286"/>
    </row>
    <row r="370" spans="13:14">
      <c r="M370" s="286"/>
      <c r="N370" s="286"/>
    </row>
    <row r="371" spans="13:14">
      <c r="M371" s="286"/>
      <c r="N371" s="286"/>
    </row>
    <row r="372" spans="13:14">
      <c r="M372" s="286"/>
      <c r="N372" s="286"/>
    </row>
    <row r="373" spans="13:14">
      <c r="M373" s="286"/>
      <c r="N373" s="286"/>
    </row>
    <row r="374" spans="13:14">
      <c r="M374" s="286"/>
      <c r="N374" s="286"/>
    </row>
    <row r="375" spans="13:14">
      <c r="M375" s="286"/>
      <c r="N375" s="286"/>
    </row>
    <row r="376" spans="13:14">
      <c r="M376" s="286"/>
      <c r="N376" s="286"/>
    </row>
    <row r="377" spans="13:14">
      <c r="M377" s="286"/>
      <c r="N377" s="286"/>
    </row>
    <row r="378" spans="13:14">
      <c r="M378" s="286"/>
      <c r="N378" s="286"/>
    </row>
    <row r="379" spans="13:14">
      <c r="M379" s="286"/>
      <c r="N379" s="286"/>
    </row>
    <row r="380" spans="13:14">
      <c r="M380" s="286"/>
      <c r="N380" s="286"/>
    </row>
    <row r="381" spans="13:14">
      <c r="M381" s="286"/>
      <c r="N381" s="286"/>
    </row>
    <row r="382" spans="13:14">
      <c r="M382" s="286"/>
      <c r="N382" s="286"/>
    </row>
    <row r="383" spans="13:14">
      <c r="M383" s="286"/>
      <c r="N383" s="286"/>
    </row>
    <row r="384" spans="13:14">
      <c r="M384" s="286"/>
      <c r="N384" s="286"/>
    </row>
    <row r="385" spans="13:14">
      <c r="M385" s="286"/>
      <c r="N385" s="286"/>
    </row>
    <row r="386" spans="13:14">
      <c r="M386" s="286"/>
      <c r="N386" s="286"/>
    </row>
    <row r="387" spans="13:14">
      <c r="M387" s="286"/>
      <c r="N387" s="286"/>
    </row>
    <row r="388" spans="13:14">
      <c r="M388" s="286"/>
      <c r="N388" s="286"/>
    </row>
    <row r="389" spans="13:14">
      <c r="M389" s="286"/>
      <c r="N389" s="286"/>
    </row>
    <row r="390" spans="13:14">
      <c r="M390" s="286"/>
      <c r="N390" s="286"/>
    </row>
    <row r="391" spans="13:14">
      <c r="M391" s="286"/>
      <c r="N391" s="286"/>
    </row>
    <row r="392" spans="13:14">
      <c r="M392" s="286"/>
      <c r="N392" s="286"/>
    </row>
    <row r="393" spans="13:14">
      <c r="M393" s="286"/>
      <c r="N393" s="286"/>
    </row>
    <row r="394" spans="13:14">
      <c r="M394" s="286"/>
      <c r="N394" s="286"/>
    </row>
    <row r="395" spans="13:14">
      <c r="M395" s="286"/>
      <c r="N395" s="286"/>
    </row>
    <row r="396" spans="13:14">
      <c r="M396" s="286"/>
      <c r="N396" s="286"/>
    </row>
    <row r="397" spans="13:14">
      <c r="M397" s="286"/>
      <c r="N397" s="286"/>
    </row>
    <row r="398" spans="13:14">
      <c r="M398" s="286"/>
      <c r="N398" s="286"/>
    </row>
    <row r="399" spans="13:14">
      <c r="M399" s="286"/>
      <c r="N399" s="286"/>
    </row>
    <row r="400" spans="13:14">
      <c r="M400" s="286"/>
      <c r="N400" s="286"/>
    </row>
    <row r="401" spans="13:14">
      <c r="M401" s="286"/>
      <c r="N401" s="286"/>
    </row>
    <row r="402" spans="13:14">
      <c r="M402" s="286"/>
      <c r="N402" s="286"/>
    </row>
    <row r="403" spans="13:14">
      <c r="M403" s="286"/>
      <c r="N403" s="286"/>
    </row>
    <row r="404" spans="13:14">
      <c r="M404" s="286"/>
      <c r="N404" s="286"/>
    </row>
    <row r="405" spans="13:14">
      <c r="M405" s="286"/>
      <c r="N405" s="286"/>
    </row>
    <row r="406" spans="13:14">
      <c r="M406" s="286"/>
      <c r="N406" s="286"/>
    </row>
    <row r="407" spans="13:14">
      <c r="M407" s="286"/>
      <c r="N407" s="286"/>
    </row>
    <row r="408" spans="13:14">
      <c r="M408" s="286"/>
      <c r="N408" s="286"/>
    </row>
    <row r="409" spans="13:14">
      <c r="M409" s="286"/>
      <c r="N409" s="286"/>
    </row>
    <row r="410" spans="13:14">
      <c r="M410" s="286"/>
      <c r="N410" s="286"/>
    </row>
    <row r="411" spans="13:14">
      <c r="M411" s="286"/>
      <c r="N411" s="286"/>
    </row>
    <row r="412" spans="13:14">
      <c r="M412" s="286"/>
      <c r="N412" s="286"/>
    </row>
    <row r="413" spans="13:14">
      <c r="M413" s="286"/>
      <c r="N413" s="286"/>
    </row>
    <row r="414" spans="13:14">
      <c r="M414" s="286"/>
      <c r="N414" s="286"/>
    </row>
    <row r="415" spans="13:14">
      <c r="M415" s="286"/>
      <c r="N415" s="286"/>
    </row>
    <row r="416" spans="13:14">
      <c r="M416" s="286"/>
      <c r="N416" s="286"/>
    </row>
    <row r="417" spans="13:14">
      <c r="M417" s="286"/>
      <c r="N417" s="286"/>
    </row>
    <row r="418" spans="13:14">
      <c r="M418" s="286"/>
      <c r="N418" s="286"/>
    </row>
    <row r="419" spans="13:14">
      <c r="M419" s="286"/>
      <c r="N419" s="286"/>
    </row>
    <row r="420" spans="13:14">
      <c r="M420" s="286"/>
      <c r="N420" s="286"/>
    </row>
    <row r="421" spans="13:14">
      <c r="M421" s="286"/>
      <c r="N421" s="286"/>
    </row>
    <row r="422" spans="13:14">
      <c r="M422" s="286"/>
      <c r="N422" s="286"/>
    </row>
    <row r="423" spans="13:14">
      <c r="M423" s="286"/>
      <c r="N423" s="286"/>
    </row>
    <row r="424" spans="13:14">
      <c r="M424" s="286"/>
      <c r="N424" s="286"/>
    </row>
    <row r="425" spans="13:14">
      <c r="M425" s="286"/>
      <c r="N425" s="286"/>
    </row>
    <row r="426" spans="13:14">
      <c r="M426" s="286"/>
      <c r="N426" s="286"/>
    </row>
    <row r="427" spans="13:14">
      <c r="M427" s="286"/>
      <c r="N427" s="286"/>
    </row>
    <row r="428" spans="13:14">
      <c r="M428" s="286"/>
      <c r="N428" s="286"/>
    </row>
    <row r="429" spans="13:14">
      <c r="M429" s="286"/>
      <c r="N429" s="286"/>
    </row>
    <row r="430" spans="13:14">
      <c r="M430" s="286"/>
      <c r="N430" s="286"/>
    </row>
    <row r="431" spans="13:14">
      <c r="M431" s="286"/>
      <c r="N431" s="286"/>
    </row>
    <row r="432" spans="13:14">
      <c r="M432" s="286"/>
      <c r="N432" s="286"/>
    </row>
    <row r="433" spans="13:14">
      <c r="M433" s="286"/>
      <c r="N433" s="286"/>
    </row>
    <row r="434" spans="13:14">
      <c r="M434" s="286"/>
      <c r="N434" s="286"/>
    </row>
    <row r="435" spans="13:14">
      <c r="M435" s="286"/>
      <c r="N435" s="286"/>
    </row>
    <row r="436" spans="13:14">
      <c r="M436" s="286"/>
      <c r="N436" s="286"/>
    </row>
    <row r="437" spans="13:14">
      <c r="M437" s="286"/>
      <c r="N437" s="286"/>
    </row>
    <row r="438" spans="13:14">
      <c r="M438" s="286"/>
      <c r="N438" s="286"/>
    </row>
    <row r="439" spans="13:14">
      <c r="M439" s="286"/>
      <c r="N439" s="286"/>
    </row>
    <row r="440" spans="13:14">
      <c r="M440" s="286"/>
      <c r="N440" s="286"/>
    </row>
    <row r="441" spans="13:14">
      <c r="M441" s="286"/>
      <c r="N441" s="286"/>
    </row>
    <row r="442" spans="13:14">
      <c r="M442" s="286"/>
      <c r="N442" s="286"/>
    </row>
    <row r="443" spans="13:14">
      <c r="M443" s="286"/>
      <c r="N443" s="286"/>
    </row>
    <row r="444" spans="13:14">
      <c r="M444" s="286"/>
      <c r="N444" s="286"/>
    </row>
    <row r="445" spans="13:14">
      <c r="M445" s="286"/>
      <c r="N445" s="286"/>
    </row>
    <row r="446" spans="13:14">
      <c r="M446" s="286"/>
      <c r="N446" s="286"/>
    </row>
    <row r="447" spans="13:14">
      <c r="M447" s="286"/>
      <c r="N447" s="286"/>
    </row>
    <row r="448" spans="13:14">
      <c r="M448" s="286"/>
      <c r="N448" s="286"/>
    </row>
    <row r="449" spans="13:14">
      <c r="M449" s="286"/>
      <c r="N449" s="286"/>
    </row>
    <row r="450" spans="13:14">
      <c r="M450" s="286"/>
      <c r="N450" s="286"/>
    </row>
    <row r="451" spans="13:14">
      <c r="M451" s="286"/>
      <c r="N451" s="286"/>
    </row>
    <row r="452" spans="13:14">
      <c r="M452" s="286"/>
      <c r="N452" s="286"/>
    </row>
    <row r="453" spans="13:14">
      <c r="M453" s="286"/>
      <c r="N453" s="286"/>
    </row>
    <row r="454" spans="13:14">
      <c r="M454" s="286"/>
      <c r="N454" s="286"/>
    </row>
    <row r="455" spans="13:14">
      <c r="M455" s="286"/>
      <c r="N455" s="286"/>
    </row>
    <row r="456" spans="13:14">
      <c r="M456" s="286"/>
      <c r="N456" s="286"/>
    </row>
    <row r="457" spans="13:14">
      <c r="M457" s="286"/>
      <c r="N457" s="286"/>
    </row>
    <row r="458" spans="13:14">
      <c r="M458" s="286"/>
      <c r="N458" s="286"/>
    </row>
    <row r="459" spans="13:14">
      <c r="M459" s="286"/>
      <c r="N459" s="286"/>
    </row>
    <row r="460" spans="13:14">
      <c r="M460" s="286"/>
      <c r="N460" s="286"/>
    </row>
    <row r="461" spans="13:14">
      <c r="M461" s="286"/>
      <c r="N461" s="286"/>
    </row>
    <row r="462" spans="13:14">
      <c r="M462" s="286"/>
      <c r="N462" s="286"/>
    </row>
    <row r="463" spans="13:14">
      <c r="M463" s="286"/>
      <c r="N463" s="286"/>
    </row>
    <row r="464" spans="13:14">
      <c r="M464" s="286"/>
      <c r="N464" s="286"/>
    </row>
    <row r="465" spans="13:14">
      <c r="M465" s="286"/>
      <c r="N465" s="286"/>
    </row>
    <row r="466" spans="13:14">
      <c r="M466" s="286"/>
      <c r="N466" s="286"/>
    </row>
    <row r="467" spans="13:14">
      <c r="M467" s="286"/>
      <c r="N467" s="286"/>
    </row>
    <row r="468" spans="13:14">
      <c r="M468" s="286"/>
      <c r="N468" s="286"/>
    </row>
    <row r="469" spans="13:14">
      <c r="M469" s="286"/>
      <c r="N469" s="286"/>
    </row>
    <row r="470" spans="13:14">
      <c r="M470" s="286"/>
      <c r="N470" s="286"/>
    </row>
    <row r="471" spans="13:14">
      <c r="M471" s="286"/>
      <c r="N471" s="286"/>
    </row>
    <row r="472" spans="13:14">
      <c r="M472" s="286"/>
      <c r="N472" s="286"/>
    </row>
    <row r="473" spans="13:14">
      <c r="M473" s="286"/>
      <c r="N473" s="286"/>
    </row>
    <row r="474" spans="13:14">
      <c r="M474" s="286"/>
      <c r="N474" s="286"/>
    </row>
    <row r="475" spans="13:14">
      <c r="M475" s="286"/>
      <c r="N475" s="286"/>
    </row>
    <row r="476" spans="13:14">
      <c r="M476" s="286"/>
      <c r="N476" s="286"/>
    </row>
    <row r="477" spans="13:14">
      <c r="M477" s="286"/>
      <c r="N477" s="286"/>
    </row>
    <row r="478" spans="13:14">
      <c r="M478" s="286"/>
      <c r="N478" s="286"/>
    </row>
    <row r="479" spans="13:14">
      <c r="M479" s="286"/>
      <c r="N479" s="286"/>
    </row>
    <row r="480" spans="13:14">
      <c r="M480" s="286"/>
      <c r="N480" s="286"/>
    </row>
    <row r="481" spans="13:14">
      <c r="M481" s="286"/>
      <c r="N481" s="286"/>
    </row>
    <row r="482" spans="13:14">
      <c r="M482" s="286"/>
      <c r="N482" s="286"/>
    </row>
    <row r="483" spans="13:14">
      <c r="M483" s="286"/>
      <c r="N483" s="286"/>
    </row>
    <row r="484" spans="13:14">
      <c r="M484" s="286"/>
      <c r="N484" s="286"/>
    </row>
    <row r="485" spans="13:14">
      <c r="M485" s="286"/>
      <c r="N485" s="286"/>
    </row>
    <row r="486" spans="13:14">
      <c r="M486" s="286"/>
      <c r="N486" s="286"/>
    </row>
    <row r="487" spans="13:14">
      <c r="M487" s="286"/>
      <c r="N487" s="286"/>
    </row>
    <row r="488" spans="13:14">
      <c r="M488" s="286"/>
      <c r="N488" s="286"/>
    </row>
    <row r="489" spans="13:14">
      <c r="M489" s="286"/>
      <c r="N489" s="286"/>
    </row>
    <row r="490" spans="13:14">
      <c r="M490" s="286"/>
      <c r="N490" s="286"/>
    </row>
    <row r="491" spans="13:14">
      <c r="M491" s="286"/>
      <c r="N491" s="286"/>
    </row>
    <row r="492" spans="13:14">
      <c r="M492" s="286"/>
      <c r="N492" s="286"/>
    </row>
    <row r="493" spans="13:14">
      <c r="M493" s="286"/>
      <c r="N493" s="286"/>
    </row>
    <row r="494" spans="13:14">
      <c r="M494" s="286"/>
      <c r="N494" s="286"/>
    </row>
    <row r="495" spans="13:14">
      <c r="M495" s="286"/>
      <c r="N495" s="286"/>
    </row>
    <row r="496" spans="13:14">
      <c r="M496" s="286"/>
      <c r="N496" s="286"/>
    </row>
    <row r="497" spans="13:14">
      <c r="M497" s="286"/>
      <c r="N497" s="286"/>
    </row>
    <row r="498" spans="13:14">
      <c r="M498" s="286"/>
      <c r="N498" s="286"/>
    </row>
    <row r="499" spans="13:14">
      <c r="M499" s="286"/>
      <c r="N499" s="286"/>
    </row>
    <row r="500" spans="13:14">
      <c r="M500" s="286"/>
      <c r="N500" s="286"/>
    </row>
    <row r="501" spans="13:14">
      <c r="M501" s="286"/>
      <c r="N501" s="286"/>
    </row>
    <row r="502" spans="13:14">
      <c r="M502" s="286"/>
      <c r="N502" s="286"/>
    </row>
  </sheetData>
  <mergeCells count="16">
    <mergeCell ref="D317:J317"/>
    <mergeCell ref="D322:J322"/>
    <mergeCell ref="D323:J323"/>
    <mergeCell ref="D321:J321"/>
    <mergeCell ref="B20:I21"/>
    <mergeCell ref="I125:J125"/>
    <mergeCell ref="I48:J48"/>
    <mergeCell ref="I51:J51"/>
    <mergeCell ref="I122:J122"/>
    <mergeCell ref="D308:J308"/>
    <mergeCell ref="D302:J302"/>
    <mergeCell ref="D291:J291"/>
    <mergeCell ref="D289:J289"/>
    <mergeCell ref="D23:E24"/>
    <mergeCell ref="D262:J263"/>
    <mergeCell ref="D278:J278"/>
  </mergeCells>
  <phoneticPr fontId="0" type="noConversion"/>
  <printOptions horizontalCentered="1"/>
  <pageMargins left="0.25" right="0.25" top="1" bottom="1" header="0.65" footer="0.25"/>
  <pageSetup scale="34" fitToHeight="0" orientation="portrait" horizontalDpi="1200" verticalDpi="1200" r:id="rId1"/>
  <headerFooter alignWithMargins="0">
    <oddHeader xml:space="preserve">&amp;R&amp;16AEP - SPP Formula Rate
TCOS
Page: &amp;P of &amp;N
</oddHeader>
    <oddFooter xml:space="preserve">&amp;R &amp;C </oddFooter>
  </headerFooter>
  <rowBreaks count="4" manualBreakCount="4">
    <brk id="39" max="11" man="1"/>
    <brk id="114" max="11" man="1"/>
    <brk id="194" max="11" man="1"/>
    <brk id="239" max="11" man="1"/>
  </rowBreaks>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O23"/>
  <sheetViews>
    <sheetView zoomScale="81" zoomScaleNormal="81" zoomScaleSheetLayoutView="80" zoomScalePageLayoutView="90" workbookViewId="0">
      <selection activeCell="C28" sqref="C28"/>
    </sheetView>
  </sheetViews>
  <sheetFormatPr defaultColWidth="11.453125" defaultRowHeight="12.5"/>
  <cols>
    <col min="1" max="1" width="9" style="1382" customWidth="1"/>
    <col min="2" max="2" width="4.453125" style="1375" customWidth="1"/>
    <col min="3" max="3" width="51.453125" style="1375" customWidth="1"/>
    <col min="4" max="4" width="21" style="1375" customWidth="1"/>
    <col min="5" max="5" width="16.54296875" style="1375" customWidth="1"/>
    <col min="6" max="6" width="18.54296875" style="1375" customWidth="1"/>
    <col min="7" max="7" width="20" style="1375" bestFit="1" customWidth="1"/>
    <col min="8" max="8" width="18.453125" style="1375" customWidth="1"/>
    <col min="9" max="9" width="17" style="1375" customWidth="1"/>
    <col min="10" max="10" width="16" style="1375" customWidth="1"/>
    <col min="11" max="11" width="16.54296875" style="1375" customWidth="1"/>
    <col min="12" max="12" width="13.54296875" style="1375" customWidth="1"/>
    <col min="13" max="13" width="11.54296875" style="1375" customWidth="1"/>
    <col min="14" max="15" width="13.453125" style="1375" customWidth="1"/>
    <col min="16" max="16" width="13.54296875" style="1375" customWidth="1"/>
    <col min="17" max="16384" width="11.453125" style="1375"/>
  </cols>
  <sheetData>
    <row r="1" spans="1:15" ht="15.5">
      <c r="A1" s="1283"/>
    </row>
    <row r="2" spans="1:15" ht="15.5">
      <c r="A2" s="2402" t="str">
        <f>'SWEPCO TCOS'!F4</f>
        <v xml:space="preserve">AEP West SPP Member Operating Companies </v>
      </c>
      <c r="B2" s="2402"/>
      <c r="C2" s="2402"/>
      <c r="D2" s="2402"/>
      <c r="E2" s="2402"/>
      <c r="F2" s="2402"/>
      <c r="G2" s="2402"/>
      <c r="H2" s="2402"/>
      <c r="I2" s="47"/>
      <c r="J2" s="286"/>
      <c r="K2" s="286"/>
    </row>
    <row r="3" spans="1:15" ht="15.5">
      <c r="A3" s="2402" t="str">
        <f>"Actual / Projected "&amp;'SWEPCO TCOS'!$N$2&amp;" Rate Year Cost of Service Formula Rate "</f>
        <v xml:space="preserve">Actual / Projected 2024 Rate Year Cost of Service Formula Rate </v>
      </c>
      <c r="B3" s="2402"/>
      <c r="C3" s="2402"/>
      <c r="D3" s="2402"/>
      <c r="E3" s="2402"/>
      <c r="F3" s="2402"/>
      <c r="G3" s="2402"/>
      <c r="H3" s="2402"/>
      <c r="I3" s="1688"/>
    </row>
    <row r="4" spans="1:15" ht="15.5">
      <c r="A4" s="2403" t="s">
        <v>947</v>
      </c>
      <c r="B4" s="2402"/>
      <c r="C4" s="2402"/>
      <c r="D4" s="2402"/>
      <c r="E4" s="2402"/>
      <c r="F4" s="2402"/>
      <c r="G4" s="2402"/>
      <c r="H4" s="2402"/>
      <c r="I4" s="1376"/>
    </row>
    <row r="5" spans="1:15" ht="15.5">
      <c r="A5" s="2404" t="str">
        <f>+'SWEPCO TCOS'!$F$8</f>
        <v>SOUTHWESTERN ELECTRIC POWER COMPANY</v>
      </c>
      <c r="B5" s="2403"/>
      <c r="C5" s="2403"/>
      <c r="D5" s="2403"/>
      <c r="E5" s="2403"/>
      <c r="F5" s="2403"/>
      <c r="G5" s="2403"/>
      <c r="H5" s="2403"/>
      <c r="I5" s="115"/>
    </row>
    <row r="6" spans="1:15" ht="15.5">
      <c r="A6" s="115"/>
      <c r="B6" s="115"/>
      <c r="C6" s="115"/>
      <c r="F6" s="1689"/>
      <c r="G6" s="1689"/>
      <c r="H6" s="1689"/>
      <c r="I6" s="1689"/>
      <c r="J6" s="1689"/>
    </row>
    <row r="7" spans="1:15" ht="13">
      <c r="C7" s="1690" t="s">
        <v>301</v>
      </c>
      <c r="D7" s="1690" t="s">
        <v>302</v>
      </c>
      <c r="E7" s="1690" t="s">
        <v>303</v>
      </c>
      <c r="F7" s="1690" t="s">
        <v>304</v>
      </c>
      <c r="G7" s="1690" t="s">
        <v>229</v>
      </c>
      <c r="H7" s="1690" t="s">
        <v>230</v>
      </c>
      <c r="I7" s="1690"/>
      <c r="J7" s="1690"/>
    </row>
    <row r="8" spans="1:15" ht="13">
      <c r="A8" s="16" t="s">
        <v>308</v>
      </c>
      <c r="C8" s="1690"/>
      <c r="D8" s="1690"/>
      <c r="E8" s="1691" t="s">
        <v>795</v>
      </c>
      <c r="F8" s="1383" t="s">
        <v>15</v>
      </c>
      <c r="G8" s="1383" t="s">
        <v>60</v>
      </c>
      <c r="H8" s="2434" t="str">
        <f>"Average Balance for "&amp;'SWEPCO TCOS'!$N$2&amp;""</f>
        <v>Average Balance for 2024</v>
      </c>
      <c r="I8" s="1690"/>
      <c r="J8" s="1690"/>
    </row>
    <row r="9" spans="1:15" ht="13">
      <c r="A9" s="16" t="s">
        <v>246</v>
      </c>
      <c r="C9" s="1383" t="s">
        <v>306</v>
      </c>
      <c r="D9" s="1415" t="s">
        <v>390</v>
      </c>
      <c r="E9" s="1415" t="s">
        <v>794</v>
      </c>
      <c r="F9" s="1692" t="str">
        <f>"12/31/"&amp;'SWEPCO TCOS'!$N$2&amp;""</f>
        <v>12/31/2024</v>
      </c>
      <c r="G9" s="1692" t="str">
        <f>"12/31/"&amp;'SWEPCO TCOS'!$N$2-1&amp;""</f>
        <v>12/31/2023</v>
      </c>
      <c r="H9" s="2339"/>
      <c r="I9" s="1383"/>
      <c r="J9" s="1383"/>
      <c r="L9" s="286"/>
      <c r="M9" s="286"/>
      <c r="N9" s="286"/>
      <c r="O9" s="286"/>
    </row>
    <row r="10" spans="1:15">
      <c r="A10" s="286"/>
      <c r="B10" s="286"/>
      <c r="C10" s="286"/>
      <c r="D10" s="286"/>
      <c r="E10" s="286"/>
      <c r="G10" s="1693"/>
      <c r="H10" s="1381"/>
      <c r="I10" s="1381"/>
      <c r="J10" s="286"/>
      <c r="K10" s="1381"/>
      <c r="L10" s="286"/>
      <c r="M10" s="286"/>
      <c r="N10" s="286"/>
      <c r="O10" s="286"/>
    </row>
    <row r="11" spans="1:15">
      <c r="C11" s="1350"/>
      <c r="D11" s="2245"/>
      <c r="E11" s="2245"/>
      <c r="F11" s="1350"/>
      <c r="G11" s="1350"/>
      <c r="H11" s="1337"/>
      <c r="J11" s="1282"/>
      <c r="L11" s="1282"/>
      <c r="M11" s="1282"/>
      <c r="N11" s="1282"/>
      <c r="O11" s="1282"/>
    </row>
    <row r="12" spans="1:15">
      <c r="A12" s="1382">
        <v>1</v>
      </c>
      <c r="C12" s="396" t="s">
        <v>1023</v>
      </c>
      <c r="D12" s="1694" t="s">
        <v>1022</v>
      </c>
      <c r="E12" s="396"/>
      <c r="F12" s="2470">
        <v>92185.880999999994</v>
      </c>
      <c r="G12" s="2470">
        <v>114681.91099999999</v>
      </c>
      <c r="H12" s="1337">
        <f t="shared" ref="H12:H17" si="0">IF(G12="",0,(F12+G12)/2)</f>
        <v>103433.89599999999</v>
      </c>
      <c r="J12" s="1282"/>
      <c r="L12" s="1282"/>
      <c r="M12" s="1282"/>
      <c r="N12" s="1282"/>
      <c r="O12" s="1282"/>
    </row>
    <row r="13" spans="1:15">
      <c r="A13" s="1382">
        <v>2</v>
      </c>
      <c r="C13" s="396"/>
      <c r="D13" s="1695"/>
      <c r="E13" s="396"/>
      <c r="F13" s="396"/>
      <c r="G13" s="396"/>
      <c r="H13" s="1348">
        <f t="shared" si="0"/>
        <v>0</v>
      </c>
      <c r="J13" s="1282"/>
      <c r="L13" s="1282"/>
      <c r="M13" s="1282"/>
      <c r="N13" s="1282"/>
      <c r="O13" s="1282"/>
    </row>
    <row r="14" spans="1:15">
      <c r="A14" s="1382">
        <v>3</v>
      </c>
      <c r="C14" s="396"/>
      <c r="D14" s="1695"/>
      <c r="E14" s="396"/>
      <c r="F14" s="396"/>
      <c r="G14" s="396"/>
      <c r="H14" s="1348">
        <f t="shared" si="0"/>
        <v>0</v>
      </c>
      <c r="J14" s="1282"/>
      <c r="L14" s="1282"/>
      <c r="M14" s="1282"/>
      <c r="N14" s="1282"/>
      <c r="O14" s="1282"/>
    </row>
    <row r="15" spans="1:15">
      <c r="A15" s="1382">
        <f t="shared" ref="A15:A18" si="1">+A14+1</f>
        <v>4</v>
      </c>
      <c r="C15" s="396"/>
      <c r="D15" s="1695"/>
      <c r="E15" s="396"/>
      <c r="F15" s="396"/>
      <c r="G15" s="396"/>
      <c r="H15" s="1348">
        <f t="shared" si="0"/>
        <v>0</v>
      </c>
      <c r="J15" s="1282"/>
      <c r="L15" s="1282"/>
      <c r="M15" s="1282"/>
      <c r="N15" s="1282"/>
      <c r="O15" s="1282"/>
    </row>
    <row r="16" spans="1:15">
      <c r="A16" s="1382">
        <f t="shared" si="1"/>
        <v>5</v>
      </c>
      <c r="C16" s="398"/>
      <c r="D16" s="398"/>
      <c r="E16" s="398"/>
      <c r="F16" s="398"/>
      <c r="G16" s="398"/>
      <c r="H16" s="1348">
        <f t="shared" si="0"/>
        <v>0</v>
      </c>
      <c r="J16" s="1282"/>
      <c r="L16" s="1282"/>
      <c r="M16" s="1282"/>
      <c r="N16" s="1282"/>
      <c r="O16" s="1282"/>
    </row>
    <row r="17" spans="1:15">
      <c r="A17" s="1382">
        <f t="shared" si="1"/>
        <v>6</v>
      </c>
      <c r="C17" s="398"/>
      <c r="D17" s="398"/>
      <c r="E17" s="398"/>
      <c r="F17" s="398"/>
      <c r="G17" s="398"/>
      <c r="H17" s="1348">
        <f t="shared" si="0"/>
        <v>0</v>
      </c>
      <c r="J17" s="1282"/>
      <c r="L17" s="1282"/>
      <c r="M17" s="1282"/>
      <c r="N17" s="1282"/>
      <c r="O17" s="1282"/>
    </row>
    <row r="18" spans="1:15">
      <c r="A18" s="1382">
        <f t="shared" si="1"/>
        <v>7</v>
      </c>
      <c r="C18" s="1696" t="s">
        <v>755</v>
      </c>
      <c r="D18" s="1696"/>
      <c r="E18" s="1696"/>
      <c r="F18" s="1697">
        <f>+SUM(F11:F17)</f>
        <v>92185.880999999994</v>
      </c>
      <c r="G18" s="1697">
        <f>+SUM(G11:G17)</f>
        <v>114681.91099999999</v>
      </c>
      <c r="H18" s="1697">
        <f>+SUM(H11:H17)</f>
        <v>103433.89599999999</v>
      </c>
      <c r="J18" s="1282"/>
      <c r="L18" s="1282"/>
      <c r="M18" s="1282"/>
      <c r="N18" s="1282"/>
      <c r="O18" s="1282"/>
    </row>
    <row r="20" spans="1:15" ht="29.25" customHeight="1">
      <c r="A20" s="2433" t="s">
        <v>796</v>
      </c>
      <c r="B20" s="2433"/>
      <c r="C20" s="2433"/>
      <c r="D20" s="2433"/>
      <c r="E20" s="2433"/>
      <c r="F20" s="2433"/>
      <c r="G20" s="2433"/>
      <c r="H20" s="2433"/>
    </row>
    <row r="23" spans="1:15">
      <c r="G23" s="1375" t="s">
        <v>254</v>
      </c>
    </row>
  </sheetData>
  <mergeCells count="6">
    <mergeCell ref="A20:H20"/>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R
Page: &amp;P of &amp;N&amp;16
</oddHeader>
    <oddFooter xml:space="preserve">&amp;R &amp;C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60"/>
  <sheetViews>
    <sheetView topLeftCell="A3" zoomScale="81" zoomScaleNormal="81" zoomScaleSheetLayoutView="90" zoomScalePageLayoutView="90" workbookViewId="0">
      <selection activeCell="I31" sqref="I31"/>
    </sheetView>
  </sheetViews>
  <sheetFormatPr defaultColWidth="11.453125" defaultRowHeight="12.5"/>
  <cols>
    <col min="1" max="1" width="1.54296875" style="1382" customWidth="1"/>
    <col min="2" max="2" width="6.1796875" style="1375" customWidth="1"/>
    <col min="3" max="3" width="4" style="1375" customWidth="1"/>
    <col min="4" max="4" width="35.453125" style="1375" customWidth="1"/>
    <col min="5" max="5" width="14.1796875" style="1375" customWidth="1"/>
    <col min="6" max="6" width="20" style="1375" bestFit="1" customWidth="1"/>
    <col min="7" max="7" width="18.453125" style="1375" customWidth="1"/>
    <col min="8" max="8" width="10.81640625" style="1375" customWidth="1"/>
    <col min="9" max="9" width="16" style="1375" customWidth="1"/>
    <col min="10" max="10" width="13.54296875" style="1375" customWidth="1"/>
    <col min="11" max="11" width="10.81640625" style="1375" customWidth="1"/>
    <col min="12" max="12" width="14" style="1375" customWidth="1"/>
    <col min="13" max="13" width="11.81640625" style="1375" customWidth="1"/>
    <col min="14" max="14" width="14.453125" style="1375" customWidth="1"/>
    <col min="15" max="15" width="13.453125" style="1375" customWidth="1"/>
    <col min="16" max="16" width="13.54296875" style="1375" customWidth="1"/>
    <col min="17" max="16384" width="11.453125" style="1375"/>
  </cols>
  <sheetData>
    <row r="1" spans="1:15" ht="15.5">
      <c r="A1" s="1283"/>
    </row>
    <row r="2" spans="1:15" ht="15.5">
      <c r="A2" s="2284" t="str">
        <f>+'SWEPCO TCOS'!F4</f>
        <v xml:space="preserve">AEP West SPP Member Operating Companies </v>
      </c>
      <c r="B2" s="2284"/>
      <c r="C2" s="2284"/>
      <c r="D2" s="2284"/>
      <c r="E2" s="2284"/>
      <c r="F2" s="2284"/>
      <c r="G2" s="2284"/>
      <c r="H2" s="2284"/>
      <c r="I2" s="2284"/>
      <c r="J2" s="2284"/>
    </row>
    <row r="3" spans="1:15" ht="15.5">
      <c r="A3" s="2402" t="str">
        <f>+'SWEPCO WS A-1 - Plant'!A3</f>
        <v xml:space="preserve">Actual / Projected 2024 Rate Year Cost of Service Formula Rate </v>
      </c>
      <c r="B3" s="2402"/>
      <c r="C3" s="2402"/>
      <c r="D3" s="2402"/>
      <c r="E3" s="2402"/>
      <c r="F3" s="2402"/>
      <c r="G3" s="2402"/>
      <c r="H3" s="2402"/>
      <c r="I3" s="2402"/>
      <c r="J3" s="2402"/>
    </row>
    <row r="4" spans="1:15" ht="15.5">
      <c r="A4" s="2403" t="s">
        <v>938</v>
      </c>
      <c r="B4" s="2402"/>
      <c r="C4" s="2402"/>
      <c r="D4" s="2402"/>
      <c r="E4" s="2402"/>
      <c r="F4" s="2402"/>
      <c r="G4" s="2402"/>
      <c r="H4" s="2402"/>
      <c r="I4" s="2402"/>
      <c r="J4" s="2402"/>
    </row>
    <row r="5" spans="1:15" ht="15.5">
      <c r="A5" s="2340" t="str">
        <f>+'SWEPCO TCOS'!F8</f>
        <v>SOUTHWESTERN ELECTRIC POWER COMPANY</v>
      </c>
      <c r="B5" s="2340"/>
      <c r="C5" s="2340"/>
      <c r="D5" s="2340"/>
      <c r="E5" s="2340"/>
      <c r="F5" s="2340"/>
      <c r="G5" s="2340"/>
      <c r="H5" s="2340"/>
      <c r="I5" s="2340"/>
      <c r="J5" s="2340"/>
    </row>
    <row r="6" spans="1:15" ht="18">
      <c r="A6" s="88"/>
      <c r="B6" s="88"/>
      <c r="C6" s="88"/>
      <c r="D6" s="88"/>
      <c r="E6" s="88"/>
      <c r="F6" s="88"/>
      <c r="H6" s="88"/>
      <c r="I6" s="88"/>
      <c r="J6" s="88"/>
      <c r="K6" s="1282"/>
      <c r="L6" s="1282"/>
      <c r="M6" s="1282"/>
      <c r="N6" s="1282"/>
      <c r="O6" s="1282"/>
    </row>
    <row r="7" spans="1:15" ht="18">
      <c r="A7" s="88"/>
      <c r="B7" s="286"/>
      <c r="C7" s="286"/>
      <c r="D7" s="2357" t="s">
        <v>301</v>
      </c>
      <c r="E7" s="2357"/>
      <c r="F7" s="33" t="s">
        <v>302</v>
      </c>
      <c r="G7" s="33" t="s">
        <v>303</v>
      </c>
      <c r="H7" s="33" t="s">
        <v>304</v>
      </c>
      <c r="I7" s="33" t="s">
        <v>229</v>
      </c>
      <c r="J7" s="88"/>
      <c r="K7" s="1282"/>
      <c r="L7" s="1282"/>
      <c r="M7" s="1282"/>
      <c r="N7" s="1282"/>
      <c r="O7" s="1282"/>
    </row>
    <row r="8" spans="1:15" ht="46.5" customHeight="1">
      <c r="A8" s="88"/>
      <c r="B8" s="41" t="s">
        <v>308</v>
      </c>
      <c r="C8" s="286"/>
      <c r="D8" s="2356" t="s">
        <v>306</v>
      </c>
      <c r="E8" s="2356"/>
      <c r="F8" s="289" t="s">
        <v>766</v>
      </c>
      <c r="G8" s="289" t="s">
        <v>345</v>
      </c>
      <c r="H8" s="48" t="s">
        <v>779</v>
      </c>
      <c r="I8" s="48" t="str">
        <f>+'SWEPCO TCOS'!N2&amp;" Amortization / (Deferral)"</f>
        <v>2024 Amortization / (Deferral)</v>
      </c>
      <c r="J8" s="88"/>
      <c r="K8"/>
      <c r="L8" s="1282"/>
      <c r="M8" s="1282"/>
      <c r="N8" s="1282"/>
      <c r="O8" s="1282"/>
    </row>
    <row r="9" spans="1:15" ht="15.5">
      <c r="A9" s="286"/>
      <c r="B9" s="296"/>
      <c r="C9" s="288"/>
      <c r="D9" s="1698"/>
      <c r="E9" s="1699"/>
      <c r="F9" s="1700"/>
      <c r="G9" s="1700"/>
      <c r="H9" s="1700"/>
      <c r="I9" s="1700"/>
      <c r="J9" s="18"/>
    </row>
    <row r="10" spans="1:15" ht="15.5">
      <c r="A10" s="286"/>
      <c r="B10" s="296">
        <v>1</v>
      </c>
      <c r="C10" s="286"/>
      <c r="D10" s="1701" t="s">
        <v>781</v>
      </c>
      <c r="E10" s="1699"/>
      <c r="F10" s="1700"/>
      <c r="G10" s="1700"/>
      <c r="H10" s="1700"/>
      <c r="I10" s="1700"/>
      <c r="J10" s="18"/>
    </row>
    <row r="11" spans="1:15" ht="15.5">
      <c r="A11" s="286"/>
      <c r="B11" s="1702" t="str">
        <f>+B$10&amp;"a"</f>
        <v>1a</v>
      </c>
      <c r="C11" s="286"/>
      <c r="D11" s="302" t="s">
        <v>1020</v>
      </c>
      <c r="E11" s="1704"/>
      <c r="F11" s="1705"/>
      <c r="G11" s="1705"/>
      <c r="H11" s="1706">
        <v>560</v>
      </c>
      <c r="I11" s="2150">
        <v>0</v>
      </c>
      <c r="J11"/>
    </row>
    <row r="12" spans="1:15" ht="15.5">
      <c r="A12" s="286"/>
      <c r="B12" s="1702" t="str">
        <f>+B$10&amp;"b"</f>
        <v>1b</v>
      </c>
      <c r="C12" s="286"/>
      <c r="D12" s="302" t="s">
        <v>1020</v>
      </c>
      <c r="E12" s="1704"/>
      <c r="F12" s="1705"/>
      <c r="G12" s="1705"/>
      <c r="H12" s="1708">
        <v>563</v>
      </c>
      <c r="I12" s="2150">
        <v>0</v>
      </c>
      <c r="J12" s="18"/>
    </row>
    <row r="13" spans="1:15" ht="15.5">
      <c r="A13" s="286"/>
      <c r="B13" s="1702" t="str">
        <f>+B$10&amp;"c"</f>
        <v>1c</v>
      </c>
      <c r="C13" s="286"/>
      <c r="D13" s="302" t="s">
        <v>1020</v>
      </c>
      <c r="E13" s="1704"/>
      <c r="F13" s="1705"/>
      <c r="G13" s="1705"/>
      <c r="H13" s="1706">
        <v>566</v>
      </c>
      <c r="I13" s="2150">
        <v>0</v>
      </c>
      <c r="J13" s="18"/>
    </row>
    <row r="14" spans="1:15" ht="15.5">
      <c r="A14" s="286"/>
      <c r="B14" s="1702" t="str">
        <f>+B$10&amp;"d"</f>
        <v>1d</v>
      </c>
      <c r="C14" s="286"/>
      <c r="D14" s="302" t="s">
        <v>1020</v>
      </c>
      <c r="E14" s="1704"/>
      <c r="F14" s="1705"/>
      <c r="G14" s="1705"/>
      <c r="H14" s="1706">
        <v>570</v>
      </c>
      <c r="I14" s="2150">
        <v>0</v>
      </c>
      <c r="J14" s="18"/>
    </row>
    <row r="15" spans="1:15" ht="15.5">
      <c r="A15" s="286"/>
      <c r="B15" s="1702" t="str">
        <f>+B$10&amp;"e"</f>
        <v>1e</v>
      </c>
      <c r="C15" s="286"/>
      <c r="D15" s="302" t="s">
        <v>1020</v>
      </c>
      <c r="E15" s="1704"/>
      <c r="F15" s="1705"/>
      <c r="G15" s="1705"/>
      <c r="H15" s="1706">
        <v>571</v>
      </c>
      <c r="I15" s="2150">
        <v>0</v>
      </c>
      <c r="J15" s="18"/>
    </row>
    <row r="16" spans="1:15" ht="15.5">
      <c r="A16" s="286"/>
      <c r="B16" s="1702" t="str">
        <f>+B$10&amp;"f"</f>
        <v>1f</v>
      </c>
      <c r="C16" s="286"/>
      <c r="D16" s="1703" t="s">
        <v>1631</v>
      </c>
      <c r="E16" s="1704"/>
      <c r="F16" s="1705"/>
      <c r="G16" s="1705"/>
      <c r="H16" s="1706">
        <v>571</v>
      </c>
      <c r="I16" s="2472">
        <v>-1222505.5</v>
      </c>
      <c r="J16" s="18"/>
    </row>
    <row r="17" spans="1:12" ht="15.5">
      <c r="A17" s="286"/>
      <c r="B17" s="1702" t="str">
        <f>+B$10&amp;"g"</f>
        <v>1g</v>
      </c>
      <c r="C17" s="286"/>
      <c r="D17" s="302" t="s">
        <v>1020</v>
      </c>
      <c r="E17" s="1704"/>
      <c r="F17" s="1705"/>
      <c r="G17" s="1705"/>
      <c r="H17" s="1706">
        <v>571</v>
      </c>
      <c r="I17" s="2150">
        <v>0</v>
      </c>
      <c r="J17" s="18"/>
    </row>
    <row r="18" spans="1:12" ht="15.5">
      <c r="A18" s="286"/>
      <c r="B18" s="296">
        <f>+B10+1</f>
        <v>2</v>
      </c>
      <c r="C18" s="286"/>
      <c r="D18" s="1709" t="s">
        <v>767</v>
      </c>
      <c r="E18" s="1710"/>
      <c r="F18" s="1709"/>
      <c r="G18" s="1709"/>
      <c r="H18" s="1711"/>
      <c r="I18" s="2151">
        <f>+SUM(I11:I17)</f>
        <v>-1222505.5</v>
      </c>
      <c r="J18" s="18"/>
    </row>
    <row r="19" spans="1:12" ht="15.5">
      <c r="A19" s="286"/>
      <c r="B19" s="296"/>
      <c r="C19" s="286"/>
      <c r="D19" s="1698"/>
      <c r="E19" s="1699"/>
      <c r="F19" s="1698"/>
      <c r="G19" s="1698"/>
      <c r="H19" s="1713"/>
      <c r="I19" s="2152"/>
      <c r="J19" s="18"/>
    </row>
    <row r="20" spans="1:12" ht="15.5">
      <c r="A20" s="286"/>
      <c r="B20" s="296">
        <f>+B18+1</f>
        <v>3</v>
      </c>
      <c r="C20" s="286"/>
      <c r="D20" s="1701" t="s">
        <v>782</v>
      </c>
      <c r="E20" s="1699"/>
      <c r="F20" s="1698"/>
      <c r="G20" s="1698"/>
      <c r="H20" s="1713"/>
      <c r="I20" s="2152"/>
      <c r="J20" s="18"/>
    </row>
    <row r="21" spans="1:12" ht="15.5">
      <c r="A21" s="286"/>
      <c r="B21" s="1702" t="str">
        <f>+B$20&amp;"a"</f>
        <v>3a</v>
      </c>
      <c r="C21" s="286"/>
      <c r="D21" s="302"/>
      <c r="E21" s="303"/>
      <c r="F21" s="304"/>
      <c r="G21" s="1705"/>
      <c r="H21" s="1706"/>
      <c r="I21" s="2150"/>
      <c r="J21" s="18"/>
    </row>
    <row r="22" spans="1:12" ht="15.5">
      <c r="A22" s="286"/>
      <c r="B22" s="1702" t="str">
        <f>+B$20&amp;"b"</f>
        <v>3b</v>
      </c>
      <c r="C22" s="286"/>
      <c r="D22" s="1703"/>
      <c r="E22" s="1704"/>
      <c r="F22" s="1705"/>
      <c r="G22" s="1705"/>
      <c r="H22" s="1706"/>
      <c r="I22" s="2150"/>
      <c r="J22" s="18"/>
    </row>
    <row r="23" spans="1:12" ht="15.5">
      <c r="A23" s="286"/>
      <c r="B23" s="1702" t="str">
        <f>+B$20&amp;"c"</f>
        <v>3c</v>
      </c>
      <c r="C23" s="286"/>
      <c r="D23" s="1703"/>
      <c r="E23" s="1704"/>
      <c r="F23" s="1705"/>
      <c r="G23" s="1705"/>
      <c r="H23" s="1706"/>
      <c r="I23" s="2150"/>
      <c r="J23" s="18"/>
    </row>
    <row r="24" spans="1:12" ht="15.5">
      <c r="A24" s="286"/>
      <c r="B24" s="1702" t="str">
        <f>+B$20&amp;"d"</f>
        <v>3d</v>
      </c>
      <c r="C24" s="286"/>
      <c r="D24" s="1703"/>
      <c r="E24" s="1704"/>
      <c r="F24" s="1703"/>
      <c r="G24" s="1703"/>
      <c r="H24" s="1706"/>
      <c r="I24" s="2150"/>
      <c r="J24" s="18"/>
    </row>
    <row r="25" spans="1:12" ht="15.5">
      <c r="A25" s="286"/>
      <c r="B25" s="296">
        <f>+B20+1</f>
        <v>4</v>
      </c>
      <c r="C25" s="286"/>
      <c r="D25" s="1709" t="s">
        <v>768</v>
      </c>
      <c r="E25" s="1710"/>
      <c r="F25" s="1709"/>
      <c r="G25" s="1709"/>
      <c r="H25" s="1711"/>
      <c r="I25" s="2151">
        <f>+SUM(I21:I24)</f>
        <v>0</v>
      </c>
      <c r="J25" s="18"/>
    </row>
    <row r="26" spans="1:12" ht="30" customHeight="1">
      <c r="A26" s="286"/>
      <c r="B26" s="296"/>
      <c r="C26" s="286"/>
      <c r="D26" s="1698"/>
      <c r="E26" s="1699"/>
      <c r="F26" s="1698"/>
      <c r="G26" s="1698"/>
      <c r="H26" s="1713"/>
      <c r="I26" s="2152"/>
      <c r="J26" s="18"/>
    </row>
    <row r="27" spans="1:12" ht="15.5">
      <c r="A27" s="286"/>
      <c r="B27" s="296">
        <f>+B25+1</f>
        <v>5</v>
      </c>
      <c r="C27" s="286"/>
      <c r="D27" s="1701" t="s">
        <v>784</v>
      </c>
      <c r="E27" s="1699"/>
      <c r="F27" s="1700"/>
      <c r="G27" s="1700"/>
      <c r="H27" s="1700"/>
      <c r="I27" s="1700"/>
      <c r="J27" s="18"/>
    </row>
    <row r="28" spans="1:12" ht="15.5">
      <c r="A28" s="286"/>
      <c r="B28" s="1702" t="str">
        <f>+B$27&amp;"a"</f>
        <v>5a</v>
      </c>
      <c r="C28" s="286"/>
      <c r="D28" s="1715" t="s">
        <v>1632</v>
      </c>
      <c r="E28" s="1704"/>
      <c r="F28" s="1703"/>
      <c r="G28" s="1703"/>
      <c r="H28" s="1706">
        <v>920</v>
      </c>
      <c r="I28" s="2150">
        <v>0</v>
      </c>
      <c r="J28" s="18"/>
      <c r="L28" s="1354"/>
    </row>
    <row r="29" spans="1:12" ht="15.5">
      <c r="A29" s="286"/>
      <c r="B29" s="1702" t="str">
        <f>+B$27&amp;"b"</f>
        <v>5b</v>
      </c>
      <c r="C29" s="286"/>
      <c r="D29" s="1715" t="s">
        <v>1632</v>
      </c>
      <c r="E29" s="1704"/>
      <c r="F29" s="1703"/>
      <c r="G29" s="1703"/>
      <c r="H29" s="1706">
        <v>921</v>
      </c>
      <c r="I29" s="2150">
        <v>0</v>
      </c>
      <c r="J29" s="18"/>
      <c r="L29" s="1354"/>
    </row>
    <row r="30" spans="1:12" ht="15.5">
      <c r="A30" s="286"/>
      <c r="B30" s="1702" t="str">
        <f>+B$27&amp;"c"</f>
        <v>5c</v>
      </c>
      <c r="C30" s="286"/>
      <c r="D30" s="1715" t="s">
        <v>1632</v>
      </c>
      <c r="E30" s="1704"/>
      <c r="F30" s="1703"/>
      <c r="G30" s="1703"/>
      <c r="H30" s="1706">
        <v>923</v>
      </c>
      <c r="I30" s="2150">
        <v>0</v>
      </c>
      <c r="J30" s="18"/>
      <c r="L30" s="1354"/>
    </row>
    <row r="31" spans="1:12" ht="15.5">
      <c r="A31" s="286"/>
      <c r="B31" s="1702" t="str">
        <f>+B$27&amp;"d"</f>
        <v>5d</v>
      </c>
      <c r="C31" s="286"/>
      <c r="D31" s="1715" t="s">
        <v>1633</v>
      </c>
      <c r="E31" s="1704"/>
      <c r="F31" s="1703"/>
      <c r="G31" s="1703"/>
      <c r="H31" s="1706">
        <v>924</v>
      </c>
      <c r="I31" s="2472">
        <v>5475529.3300000001</v>
      </c>
      <c r="J31" s="18"/>
      <c r="L31" s="1354"/>
    </row>
    <row r="32" spans="1:12" ht="15.5">
      <c r="A32" s="286"/>
      <c r="B32" s="1702" t="str">
        <f>+B$27&amp;"e"</f>
        <v>5e</v>
      </c>
      <c r="C32" s="286"/>
      <c r="D32" s="1715" t="s">
        <v>1019</v>
      </c>
      <c r="E32" s="1704"/>
      <c r="F32" s="1703"/>
      <c r="G32" s="1703"/>
      <c r="H32" s="1706">
        <v>926</v>
      </c>
      <c r="I32" s="2472">
        <v>533308.39000000013</v>
      </c>
      <c r="J32" s="18"/>
      <c r="L32" s="1354"/>
    </row>
    <row r="33" spans="1:14" ht="15.5">
      <c r="A33" s="286"/>
      <c r="B33" s="1702" t="str">
        <f>+B$27&amp;"f"</f>
        <v>5f</v>
      </c>
      <c r="C33" s="286"/>
      <c r="D33" s="302" t="s">
        <v>1020</v>
      </c>
      <c r="E33" s="1704"/>
      <c r="F33" s="1703"/>
      <c r="G33" s="1703"/>
      <c r="H33" s="1706">
        <v>935</v>
      </c>
      <c r="I33" s="2150">
        <v>0</v>
      </c>
      <c r="J33" s="18"/>
      <c r="L33" s="1354"/>
    </row>
    <row r="34" spans="1:14" ht="15.5">
      <c r="A34" s="286"/>
      <c r="B34" s="1702" t="str">
        <f>+B$27&amp;"g"</f>
        <v>5g</v>
      </c>
      <c r="C34" s="286"/>
      <c r="D34" s="1703"/>
      <c r="E34" s="1704"/>
      <c r="F34" s="1705"/>
      <c r="G34" s="1705"/>
      <c r="H34" s="1706"/>
      <c r="I34" s="2150"/>
      <c r="J34" s="18"/>
    </row>
    <row r="35" spans="1:14" ht="15.5">
      <c r="A35" s="286"/>
      <c r="B35" s="296">
        <f>+B27+1</f>
        <v>6</v>
      </c>
      <c r="C35" s="286"/>
      <c r="D35" s="1709" t="s">
        <v>767</v>
      </c>
      <c r="E35" s="1710"/>
      <c r="F35" s="1709"/>
      <c r="G35" s="1709"/>
      <c r="H35" s="1711"/>
      <c r="I35" s="1712">
        <f>+SUM(I28:I34)</f>
        <v>6008837.7200000007</v>
      </c>
      <c r="J35" s="18"/>
    </row>
    <row r="36" spans="1:14" ht="15.5">
      <c r="A36" s="286"/>
      <c r="B36" s="296"/>
      <c r="C36" s="286"/>
      <c r="D36" s="1698"/>
      <c r="E36" s="1699"/>
      <c r="F36" s="1698"/>
      <c r="G36" s="1698"/>
      <c r="H36" s="1713"/>
      <c r="I36" s="1714"/>
      <c r="J36" s="18"/>
    </row>
    <row r="37" spans="1:14" ht="15.5">
      <c r="A37" s="286"/>
      <c r="B37" s="296">
        <f>+B35+1</f>
        <v>7</v>
      </c>
      <c r="C37" s="286"/>
      <c r="D37" s="1701" t="s">
        <v>785</v>
      </c>
      <c r="E37" s="1699"/>
      <c r="F37" s="1698"/>
      <c r="G37" s="1698"/>
      <c r="H37" s="1713"/>
      <c r="I37" s="1714"/>
      <c r="J37" s="18"/>
    </row>
    <row r="38" spans="1:14" ht="15.5">
      <c r="A38" s="286"/>
      <c r="B38" s="1702" t="str">
        <f>+B$37&amp;"a"</f>
        <v>7a</v>
      </c>
      <c r="C38" s="286"/>
      <c r="D38" s="1715" t="s">
        <v>1019</v>
      </c>
      <c r="E38" s="1704"/>
      <c r="F38" s="1716" t="s">
        <v>1223</v>
      </c>
      <c r="G38" s="1716"/>
      <c r="H38" s="1706">
        <v>926</v>
      </c>
      <c r="I38" s="1707">
        <f>+I32</f>
        <v>533308.39000000013</v>
      </c>
      <c r="J38" s="18"/>
    </row>
    <row r="39" spans="1:14" ht="15.5">
      <c r="A39" s="286"/>
      <c r="B39" s="1702" t="str">
        <f>+B$37&amp;"b"</f>
        <v>7b</v>
      </c>
      <c r="C39" s="286"/>
      <c r="J39" s="18"/>
    </row>
    <row r="40" spans="1:14" ht="15.5">
      <c r="A40" s="286"/>
      <c r="B40" s="296">
        <f>+B37+1</f>
        <v>8</v>
      </c>
      <c r="C40" s="286"/>
      <c r="D40" s="1709" t="s">
        <v>768</v>
      </c>
      <c r="E40" s="1710"/>
      <c r="F40" s="1709"/>
      <c r="G40" s="1709"/>
      <c r="H40" s="1711"/>
      <c r="I40" s="1712">
        <f>+SUM(I38:I38)</f>
        <v>533308.39000000013</v>
      </c>
      <c r="J40" s="18"/>
    </row>
    <row r="41" spans="1:14" ht="15.5">
      <c r="A41" s="286"/>
      <c r="B41" s="286"/>
      <c r="C41" s="286"/>
      <c r="D41" s="1698"/>
      <c r="E41" s="1699"/>
      <c r="F41" s="1698"/>
      <c r="G41" s="1698"/>
      <c r="H41" s="1713"/>
      <c r="I41" s="1714"/>
      <c r="J41" s="18"/>
    </row>
    <row r="43" spans="1:14" ht="14">
      <c r="D43" s="1717" t="s">
        <v>789</v>
      </c>
      <c r="K43" s="1690"/>
      <c r="L43" s="1690"/>
      <c r="M43" s="1690"/>
      <c r="N43" s="1690"/>
    </row>
    <row r="44" spans="1:14" ht="12.75" hidden="1" customHeight="1">
      <c r="K44" s="1383"/>
      <c r="L44" s="1383"/>
      <c r="M44" s="1383"/>
    </row>
    <row r="45" spans="1:14" ht="12.75" customHeight="1">
      <c r="D45" s="2357" t="s">
        <v>301</v>
      </c>
      <c r="E45" s="2357"/>
      <c r="F45" s="33" t="s">
        <v>302</v>
      </c>
      <c r="G45" s="33" t="s">
        <v>303</v>
      </c>
      <c r="H45" s="33" t="s">
        <v>304</v>
      </c>
      <c r="I45" s="33" t="s">
        <v>229</v>
      </c>
      <c r="J45" s="33" t="s">
        <v>230</v>
      </c>
      <c r="K45" s="33" t="s">
        <v>231</v>
      </c>
      <c r="L45" s="33" t="s">
        <v>236</v>
      </c>
      <c r="M45" s="33" t="s">
        <v>177</v>
      </c>
      <c r="N45" s="33" t="s">
        <v>73</v>
      </c>
    </row>
    <row r="46" spans="1:14" ht="43.5" customHeight="1">
      <c r="B46" s="1702">
        <f>+B40+1</f>
        <v>9</v>
      </c>
      <c r="D46" s="1718" t="s">
        <v>306</v>
      </c>
      <c r="E46" s="1719" t="s">
        <v>773</v>
      </c>
      <c r="F46" s="1719" t="s">
        <v>778</v>
      </c>
      <c r="G46" s="1719" t="s">
        <v>774</v>
      </c>
      <c r="H46" s="1719" t="s">
        <v>775</v>
      </c>
      <c r="I46" s="1720" t="str">
        <f>"Balance @ 12/31/"&amp;'SWEPCO TCOS'!$N$2&amp;""</f>
        <v>Balance @ 12/31/2024</v>
      </c>
      <c r="J46" s="1720" t="str">
        <f>"Balance @ 12/31/"&amp;'SWEPCO TCOS'!$N$2-1&amp;""</f>
        <v>Balance @ 12/31/2023</v>
      </c>
      <c r="K46" s="1721" t="s">
        <v>352</v>
      </c>
      <c r="L46" s="1721" t="s">
        <v>791</v>
      </c>
      <c r="M46" s="1721" t="s">
        <v>780</v>
      </c>
      <c r="N46" s="1721" t="s">
        <v>776</v>
      </c>
    </row>
    <row r="47" spans="1:14">
      <c r="B47" s="1702" t="str">
        <f>+B$40+1&amp;"a"</f>
        <v>9a</v>
      </c>
      <c r="D47" s="1703"/>
      <c r="E47" s="1705"/>
      <c r="F47" s="1705"/>
      <c r="G47" s="1722"/>
      <c r="H47" s="1723"/>
      <c r="I47" s="2153"/>
      <c r="J47" s="2154"/>
      <c r="K47" s="2155">
        <f>+(I47+J47)/2</f>
        <v>0</v>
      </c>
      <c r="L47" s="2156"/>
      <c r="M47" s="2150"/>
      <c r="N47" s="1348">
        <f>+K47*M47</f>
        <v>0</v>
      </c>
    </row>
    <row r="48" spans="1:14">
      <c r="B48" s="1702" t="str">
        <f>+B$40+1&amp;"b"</f>
        <v>9b</v>
      </c>
      <c r="D48" s="1703"/>
      <c r="E48" s="1705"/>
      <c r="F48" s="1705"/>
      <c r="G48" s="1722"/>
      <c r="H48" s="1723"/>
      <c r="I48" s="2153"/>
      <c r="J48" s="2153"/>
      <c r="K48" s="2155">
        <f t="shared" ref="K48:K51" si="0">+(I48+J48)/2</f>
        <v>0</v>
      </c>
      <c r="L48" s="2156"/>
      <c r="M48" s="2150"/>
      <c r="N48" s="1348">
        <f t="shared" ref="N48:N51" si="1">+K48*M48</f>
        <v>0</v>
      </c>
    </row>
    <row r="49" spans="1:15">
      <c r="B49" s="1702" t="str">
        <f>+B$40+1&amp;"c"</f>
        <v>9c</v>
      </c>
      <c r="D49" s="1703"/>
      <c r="E49" s="1705"/>
      <c r="F49" s="1705"/>
      <c r="G49" s="1722"/>
      <c r="H49" s="1723"/>
      <c r="I49" s="2153"/>
      <c r="J49" s="2153"/>
      <c r="K49" s="2155">
        <f t="shared" si="0"/>
        <v>0</v>
      </c>
      <c r="L49" s="2156"/>
      <c r="M49" s="2156"/>
      <c r="N49" s="1348">
        <f t="shared" si="1"/>
        <v>0</v>
      </c>
    </row>
    <row r="50" spans="1:15">
      <c r="B50" s="1702" t="str">
        <f>+B$40+1&amp;"d"</f>
        <v>9d</v>
      </c>
      <c r="D50" s="1703"/>
      <c r="E50" s="1705"/>
      <c r="F50" s="1705"/>
      <c r="G50" s="1722"/>
      <c r="H50" s="1723"/>
      <c r="I50" s="2153"/>
      <c r="J50" s="2154"/>
      <c r="K50" s="2155">
        <f t="shared" si="0"/>
        <v>0</v>
      </c>
      <c r="L50" s="2150"/>
      <c r="M50" s="2150"/>
      <c r="N50" s="1348">
        <f t="shared" si="1"/>
        <v>0</v>
      </c>
    </row>
    <row r="51" spans="1:15">
      <c r="B51" s="1702" t="str">
        <f>+B$40+1&amp;"e"</f>
        <v>9e</v>
      </c>
      <c r="D51" s="1703"/>
      <c r="E51" s="1705"/>
      <c r="F51" s="1705"/>
      <c r="G51" s="1722"/>
      <c r="H51" s="1723"/>
      <c r="I51" s="2153"/>
      <c r="J51" s="2154"/>
      <c r="K51" s="2155">
        <f t="shared" si="0"/>
        <v>0</v>
      </c>
      <c r="L51" s="2150"/>
      <c r="M51" s="2150"/>
      <c r="N51" s="1348">
        <f t="shared" si="1"/>
        <v>0</v>
      </c>
    </row>
    <row r="52" spans="1:15">
      <c r="B52" s="1702">
        <f>+B46+1</f>
        <v>10</v>
      </c>
      <c r="D52" s="1696" t="s">
        <v>777</v>
      </c>
      <c r="E52" s="1696"/>
      <c r="F52" s="1696"/>
      <c r="G52" s="1696"/>
      <c r="H52" s="1696"/>
      <c r="I52" s="2157">
        <f>+SUM(I47:I51)</f>
        <v>0</v>
      </c>
      <c r="J52" s="2157">
        <f t="shared" ref="J52:K52" si="2">+SUM(J47:J51)</f>
        <v>0</v>
      </c>
      <c r="K52" s="2157">
        <f t="shared" si="2"/>
        <v>0</v>
      </c>
      <c r="L52" s="2158"/>
      <c r="M52" s="2158"/>
      <c r="N52" s="2157">
        <f>+SUM(N47:N51)</f>
        <v>0</v>
      </c>
    </row>
    <row r="53" spans="1:15">
      <c r="B53" s="1382"/>
    </row>
    <row r="54" spans="1:15" ht="18">
      <c r="A54" s="172"/>
      <c r="B54" s="1724" t="s">
        <v>314</v>
      </c>
      <c r="C54" s="1724"/>
      <c r="D54" s="1724"/>
      <c r="E54" s="1724"/>
      <c r="F54" s="1724"/>
      <c r="G54" s="1724"/>
      <c r="H54" s="1724"/>
      <c r="I54" s="1724"/>
      <c r="J54" s="172"/>
    </row>
    <row r="55" spans="1:15" ht="23.25" customHeight="1">
      <c r="A55" s="172"/>
      <c r="B55" s="1725">
        <v>1</v>
      </c>
      <c r="C55" s="1726"/>
      <c r="D55" s="2435" t="s">
        <v>786</v>
      </c>
      <c r="E55" s="2435"/>
      <c r="F55" s="2435"/>
      <c r="G55" s="2435"/>
      <c r="H55" s="2435"/>
      <c r="I55" s="2435"/>
      <c r="J55" s="2435"/>
      <c r="K55" s="2435"/>
      <c r="L55" s="2435"/>
      <c r="M55" s="2435"/>
      <c r="N55" s="2435"/>
    </row>
    <row r="56" spans="1:15" ht="18">
      <c r="A56" s="172"/>
      <c r="B56" s="1725">
        <v>2</v>
      </c>
      <c r="C56" s="1727"/>
      <c r="D56" s="2435" t="s">
        <v>921</v>
      </c>
      <c r="E56" s="2435"/>
      <c r="F56" s="2435"/>
      <c r="G56" s="2435"/>
      <c r="H56" s="2435"/>
      <c r="I56" s="2435"/>
      <c r="J56" s="2435"/>
      <c r="K56" s="2435"/>
      <c r="L56" s="2435"/>
      <c r="M56" s="2435"/>
      <c r="N56" s="2435"/>
      <c r="O56" s="286"/>
    </row>
    <row r="57" spans="1:15" ht="33" customHeight="1">
      <c r="A57" s="172"/>
      <c r="B57" s="1725">
        <v>3</v>
      </c>
      <c r="C57" s="1728"/>
      <c r="D57" s="2435" t="s">
        <v>783</v>
      </c>
      <c r="E57" s="2435"/>
      <c r="F57" s="2435"/>
      <c r="G57" s="2435"/>
      <c r="H57" s="2435"/>
      <c r="I57" s="2435"/>
      <c r="J57" s="2435"/>
      <c r="K57" s="2435"/>
      <c r="L57" s="2435"/>
      <c r="M57" s="2435"/>
      <c r="N57" s="2435"/>
      <c r="O57" s="286"/>
    </row>
    <row r="58" spans="1:15" ht="18">
      <c r="A58" s="88"/>
      <c r="B58" s="1725">
        <v>4</v>
      </c>
      <c r="C58" s="88"/>
      <c r="D58" s="2435" t="s">
        <v>922</v>
      </c>
      <c r="E58" s="2435"/>
      <c r="F58" s="2435"/>
      <c r="G58" s="2435"/>
      <c r="H58" s="2435"/>
      <c r="I58" s="2435"/>
      <c r="J58" s="2435"/>
      <c r="K58" s="2435"/>
      <c r="L58" s="2435"/>
      <c r="M58" s="2435"/>
      <c r="N58" s="2435"/>
      <c r="O58" s="1282"/>
    </row>
    <row r="59" spans="1:15" ht="30.75" customHeight="1">
      <c r="B59" s="1725">
        <v>5</v>
      </c>
      <c r="C59" s="88"/>
      <c r="D59" s="2435" t="s">
        <v>793</v>
      </c>
      <c r="E59" s="2435"/>
      <c r="F59" s="2435"/>
      <c r="G59" s="2435"/>
      <c r="H59" s="2435"/>
      <c r="I59" s="2435"/>
      <c r="J59" s="2435"/>
      <c r="K59" s="2435"/>
      <c r="L59" s="2435"/>
      <c r="M59" s="2435"/>
      <c r="N59" s="2435"/>
    </row>
    <row r="60" spans="1:15" ht="18">
      <c r="B60" s="1725">
        <v>6</v>
      </c>
      <c r="C60" s="88"/>
      <c r="D60" s="2435" t="s">
        <v>792</v>
      </c>
      <c r="E60" s="2435"/>
      <c r="F60" s="2435"/>
      <c r="G60" s="2435"/>
      <c r="H60" s="2435"/>
      <c r="I60" s="2435"/>
      <c r="J60" s="2435"/>
      <c r="K60" s="2435"/>
      <c r="L60" s="2435"/>
      <c r="M60" s="2435"/>
      <c r="N60" s="2435"/>
    </row>
  </sheetData>
  <mergeCells count="13">
    <mergeCell ref="D8:E8"/>
    <mergeCell ref="A2:J2"/>
    <mergeCell ref="A3:J3"/>
    <mergeCell ref="A4:J4"/>
    <mergeCell ref="A5:J5"/>
    <mergeCell ref="D7:E7"/>
    <mergeCell ref="D60:N60"/>
    <mergeCell ref="D45:E45"/>
    <mergeCell ref="D55:N55"/>
    <mergeCell ref="D56:N56"/>
    <mergeCell ref="D57:N57"/>
    <mergeCell ref="D58:N58"/>
    <mergeCell ref="D59:N59"/>
  </mergeCells>
  <printOptions horizontalCentered="1"/>
  <pageMargins left="0.25" right="0.25" top="1" bottom="0" header="0.65" footer="0"/>
  <pageSetup scale="52" fitToHeight="2" orientation="portrait" horizontalDpi="1200" verticalDpi="1200" r:id="rId1"/>
  <headerFooter alignWithMargins="0">
    <oddHeader xml:space="preserve">&amp;R&amp;12AEP - SPP Formula Rate
TCOS - WS S
Page: &amp;P of &amp;N&amp;16
</oddHeader>
    <oddFooter xml:space="preserve">&amp;R &amp;C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S53"/>
  <sheetViews>
    <sheetView zoomScaleNormal="100" zoomScaleSheetLayoutView="70" workbookViewId="0">
      <selection activeCell="A5" sqref="A5:S5"/>
    </sheetView>
  </sheetViews>
  <sheetFormatPr defaultColWidth="9.1796875" defaultRowHeight="12.5"/>
  <cols>
    <col min="1" max="1" width="6.54296875" style="208" customWidth="1"/>
    <col min="2" max="2" width="7.54296875" style="208" bestFit="1" customWidth="1"/>
    <col min="3" max="4" width="13.453125" style="208" bestFit="1" customWidth="1"/>
    <col min="5" max="5" width="11" style="208" bestFit="1" customWidth="1"/>
    <col min="6" max="6" width="3.453125" style="208" customWidth="1"/>
    <col min="7" max="7" width="11.81640625" style="208" bestFit="1" customWidth="1"/>
    <col min="8" max="8" width="13.453125" style="208" bestFit="1" customWidth="1"/>
    <col min="9" max="9" width="11" style="208" bestFit="1" customWidth="1"/>
    <col min="10" max="10" width="3.453125" style="208" customWidth="1"/>
    <col min="11" max="11" width="10.54296875" style="208" bestFit="1" customWidth="1"/>
    <col min="12" max="12" width="13.453125" style="208" bestFit="1" customWidth="1"/>
    <col min="13" max="13" width="11" style="208" bestFit="1" customWidth="1"/>
    <col min="14" max="14" width="3.453125" style="208" customWidth="1"/>
    <col min="15" max="15" width="10.54296875" style="208" bestFit="1" customWidth="1"/>
    <col min="16" max="16" width="13.453125" style="208" bestFit="1" customWidth="1"/>
    <col min="17" max="17" width="11" style="208" bestFit="1" customWidth="1"/>
    <col min="18" max="18" width="3.453125" style="208" customWidth="1"/>
    <col min="19" max="19" width="12.453125" style="208" customWidth="1"/>
    <col min="20" max="16384" width="9.1796875" style="208"/>
  </cols>
  <sheetData>
    <row r="1" spans="1:19" ht="15.5">
      <c r="A1" s="1729"/>
    </row>
    <row r="2" spans="1:19" ht="15.5">
      <c r="A2" s="2396" t="s">
        <v>644</v>
      </c>
      <c r="B2" s="2396"/>
      <c r="C2" s="2396"/>
      <c r="D2" s="2396"/>
      <c r="E2" s="2396"/>
      <c r="F2" s="2396"/>
      <c r="G2" s="2396"/>
      <c r="H2" s="2396"/>
      <c r="I2" s="2396"/>
      <c r="J2" s="2396"/>
      <c r="K2" s="2396"/>
      <c r="L2" s="2396"/>
      <c r="M2" s="2396"/>
      <c r="N2" s="2396"/>
      <c r="O2" s="2396"/>
      <c r="P2" s="2396"/>
      <c r="Q2" s="2396"/>
      <c r="R2" s="2396"/>
      <c r="S2" s="2396"/>
    </row>
    <row r="3" spans="1:19" ht="15.5">
      <c r="A3" s="2396" t="s">
        <v>1899</v>
      </c>
      <c r="B3" s="2396"/>
      <c r="C3" s="2396"/>
      <c r="D3" s="2396"/>
      <c r="E3" s="2396"/>
      <c r="F3" s="2396"/>
      <c r="G3" s="2396"/>
      <c r="H3" s="2396"/>
      <c r="I3" s="2396"/>
      <c r="J3" s="2396"/>
      <c r="K3" s="2396"/>
      <c r="L3" s="2396"/>
      <c r="M3" s="2396"/>
      <c r="N3" s="2396"/>
      <c r="O3" s="2396"/>
      <c r="P3" s="2396"/>
      <c r="Q3" s="2396"/>
      <c r="R3" s="2396"/>
      <c r="S3" s="2396"/>
    </row>
    <row r="4" spans="1:19" ht="15.5">
      <c r="A4" s="2397" t="s">
        <v>939</v>
      </c>
      <c r="B4" s="2397"/>
      <c r="C4" s="2397"/>
      <c r="D4" s="2397"/>
      <c r="E4" s="2397"/>
      <c r="F4" s="2397"/>
      <c r="G4" s="2397"/>
      <c r="H4" s="2397"/>
      <c r="I4" s="2397"/>
      <c r="J4" s="2397"/>
      <c r="K4" s="2397"/>
      <c r="L4" s="2397"/>
      <c r="M4" s="2397"/>
      <c r="N4" s="2397"/>
      <c r="O4" s="2397"/>
      <c r="P4" s="2397"/>
      <c r="Q4" s="2397"/>
      <c r="R4" s="2397"/>
      <c r="S4" s="2397"/>
    </row>
    <row r="5" spans="1:19" ht="15.5">
      <c r="A5" s="2439" t="str">
        <f>+'SWEPCO WS A-1 - Plant'!A5:H5</f>
        <v>SOUTHWESTERN ELECTRIC POWER COMPANY</v>
      </c>
      <c r="B5" s="2397"/>
      <c r="C5" s="2397"/>
      <c r="D5" s="2397"/>
      <c r="E5" s="2397"/>
      <c r="F5" s="2397"/>
      <c r="G5" s="2397"/>
      <c r="H5" s="2397"/>
      <c r="I5" s="2397"/>
      <c r="J5" s="2397"/>
      <c r="K5" s="2397"/>
      <c r="L5" s="2397"/>
      <c r="M5" s="2397"/>
      <c r="N5" s="2397"/>
      <c r="O5" s="2397"/>
      <c r="P5" s="2397"/>
      <c r="Q5" s="2397"/>
      <c r="R5" s="2397"/>
      <c r="S5" s="2397"/>
    </row>
    <row r="8" spans="1:19" ht="15.5">
      <c r="A8" s="2437" t="s">
        <v>820</v>
      </c>
      <c r="B8" s="2437"/>
      <c r="C8" s="2437"/>
      <c r="D8" s="2437"/>
      <c r="E8" s="2437"/>
      <c r="F8" s="2437"/>
      <c r="G8" s="2437"/>
      <c r="H8" s="2437"/>
      <c r="I8" s="2437"/>
      <c r="J8" s="2437"/>
      <c r="K8" s="2437"/>
      <c r="L8" s="2437"/>
      <c r="M8" s="2437"/>
      <c r="N8" s="2437"/>
      <c r="O8" s="2437"/>
      <c r="P8" s="2437"/>
      <c r="Q8" s="2437"/>
      <c r="R8" s="2437"/>
      <c r="S8" s="2437"/>
    </row>
    <row r="9" spans="1:19" ht="15.5">
      <c r="A9" s="2437" t="s">
        <v>958</v>
      </c>
      <c r="B9" s="2437"/>
      <c r="C9" s="2437"/>
      <c r="D9" s="2437"/>
      <c r="E9" s="2437"/>
      <c r="F9" s="2437"/>
      <c r="G9" s="2437"/>
      <c r="H9" s="2437"/>
      <c r="I9" s="2437"/>
      <c r="J9" s="2437"/>
      <c r="K9" s="2437"/>
      <c r="L9" s="2437"/>
      <c r="M9" s="2437"/>
      <c r="N9" s="2437"/>
      <c r="O9" s="2437"/>
      <c r="P9" s="2437"/>
      <c r="Q9" s="2437"/>
      <c r="R9" s="2437"/>
      <c r="S9" s="2437"/>
    </row>
    <row r="10" spans="1:19" ht="15.5">
      <c r="A10" s="2437" t="s">
        <v>1898</v>
      </c>
      <c r="B10" s="2437"/>
      <c r="C10" s="2437"/>
      <c r="D10" s="2437"/>
      <c r="E10" s="2437"/>
      <c r="F10" s="2437"/>
      <c r="G10" s="2437"/>
      <c r="H10" s="2437"/>
      <c r="I10" s="2437"/>
      <c r="J10" s="2437"/>
      <c r="K10" s="2437"/>
      <c r="L10" s="2437"/>
      <c r="M10" s="2437"/>
      <c r="N10" s="2437"/>
      <c r="O10" s="2437"/>
      <c r="P10" s="2437"/>
      <c r="Q10" s="2437"/>
      <c r="R10" s="2437"/>
      <c r="S10" s="2437"/>
    </row>
    <row r="11" spans="1:19" ht="13">
      <c r="A11" s="1730"/>
      <c r="B11" s="1730"/>
      <c r="C11" s="1731"/>
      <c r="G11" s="411"/>
      <c r="S11" s="1732" t="s">
        <v>821</v>
      </c>
    </row>
    <row r="12" spans="1:19" ht="13.5" thickBot="1">
      <c r="A12" s="1730"/>
      <c r="B12" s="1730"/>
      <c r="C12" s="2438" t="s">
        <v>822</v>
      </c>
      <c r="D12" s="2438" t="s">
        <v>822</v>
      </c>
      <c r="E12" s="2438"/>
      <c r="F12" s="1731"/>
      <c r="G12" s="2438" t="s">
        <v>823</v>
      </c>
      <c r="H12" s="2438"/>
      <c r="I12" s="2438"/>
      <c r="J12" s="1730"/>
      <c r="K12" s="2438" t="s">
        <v>824</v>
      </c>
      <c r="L12" s="2438"/>
      <c r="M12" s="2438"/>
      <c r="N12" s="1730"/>
      <c r="O12" s="2438" t="s">
        <v>825</v>
      </c>
      <c r="P12" s="2438"/>
      <c r="Q12" s="2438"/>
      <c r="R12" s="1730"/>
      <c r="S12" s="1733" t="s">
        <v>826</v>
      </c>
    </row>
    <row r="13" spans="1:19" ht="13">
      <c r="A13" s="1730"/>
      <c r="B13" s="1730"/>
      <c r="C13" s="1734"/>
      <c r="D13" s="1735"/>
      <c r="E13" s="1735"/>
      <c r="F13" s="1735"/>
      <c r="G13" s="1736"/>
      <c r="H13" s="1735"/>
      <c r="I13" s="1735"/>
      <c r="J13" s="1735"/>
      <c r="K13" s="1737"/>
      <c r="L13" s="1735"/>
      <c r="M13" s="1735"/>
      <c r="N13" s="1735"/>
      <c r="O13" s="1737"/>
      <c r="P13" s="1735"/>
      <c r="Q13" s="1735"/>
      <c r="R13" s="1735"/>
      <c r="S13" s="1735"/>
    </row>
    <row r="14" spans="1:19" ht="13">
      <c r="A14" s="1730"/>
      <c r="B14" s="1730"/>
      <c r="C14" s="1734" t="s">
        <v>254</v>
      </c>
      <c r="D14" s="1735"/>
      <c r="E14" s="1734" t="s">
        <v>827</v>
      </c>
      <c r="F14" s="1734"/>
      <c r="G14" s="411"/>
      <c r="H14" s="1735"/>
      <c r="I14" s="1734" t="s">
        <v>827</v>
      </c>
      <c r="J14" s="1735"/>
      <c r="L14" s="1735"/>
      <c r="M14" s="1734" t="s">
        <v>827</v>
      </c>
      <c r="N14" s="1735"/>
      <c r="P14" s="1735"/>
      <c r="Q14" s="1734" t="s">
        <v>827</v>
      </c>
      <c r="R14" s="1735"/>
      <c r="S14" s="1734" t="s">
        <v>827</v>
      </c>
    </row>
    <row r="15" spans="1:19" ht="13">
      <c r="A15" s="1730"/>
      <c r="B15" s="1734" t="s">
        <v>828</v>
      </c>
      <c r="C15" s="1734" t="s">
        <v>829</v>
      </c>
      <c r="D15" s="1734" t="s">
        <v>830</v>
      </c>
      <c r="E15" s="1734" t="s">
        <v>831</v>
      </c>
      <c r="F15" s="1734"/>
      <c r="G15" s="1736" t="s">
        <v>823</v>
      </c>
      <c r="H15" s="1734" t="s">
        <v>830</v>
      </c>
      <c r="I15" s="1734" t="s">
        <v>831</v>
      </c>
      <c r="J15" s="1735"/>
      <c r="K15" s="1734" t="s">
        <v>824</v>
      </c>
      <c r="L15" s="1734" t="s">
        <v>830</v>
      </c>
      <c r="M15" s="1734" t="s">
        <v>831</v>
      </c>
      <c r="N15" s="1735"/>
      <c r="O15" s="1734" t="s">
        <v>150</v>
      </c>
      <c r="P15" s="1734" t="s">
        <v>830</v>
      </c>
      <c r="Q15" s="1734" t="s">
        <v>831</v>
      </c>
      <c r="R15" s="1735"/>
      <c r="S15" s="1734" t="s">
        <v>831</v>
      </c>
    </row>
    <row r="16" spans="1:19" ht="13">
      <c r="A16" s="1734"/>
      <c r="B16" s="1734" t="s">
        <v>832</v>
      </c>
      <c r="C16" s="1734" t="s">
        <v>833</v>
      </c>
      <c r="D16" s="1734" t="s">
        <v>834</v>
      </c>
      <c r="E16" s="1734" t="s">
        <v>835</v>
      </c>
      <c r="F16" s="1734"/>
      <c r="G16" s="1736" t="s">
        <v>836</v>
      </c>
      <c r="H16" s="1734" t="s">
        <v>834</v>
      </c>
      <c r="I16" s="1734" t="s">
        <v>835</v>
      </c>
      <c r="J16" s="1735"/>
      <c r="K16" s="1734" t="s">
        <v>837</v>
      </c>
      <c r="L16" s="1734" t="s">
        <v>834</v>
      </c>
      <c r="M16" s="1734" t="s">
        <v>835</v>
      </c>
      <c r="N16" s="1735"/>
      <c r="O16" s="1734" t="s">
        <v>838</v>
      </c>
      <c r="P16" s="1734" t="s">
        <v>834</v>
      </c>
      <c r="Q16" s="1734" t="s">
        <v>835</v>
      </c>
      <c r="R16" s="1735"/>
      <c r="S16" s="1734" t="s">
        <v>835</v>
      </c>
    </row>
    <row r="17" spans="1:19" ht="13" thickBot="1">
      <c r="G17" s="411"/>
    </row>
    <row r="18" spans="1:19" ht="13">
      <c r="A18" s="1738" t="s">
        <v>839</v>
      </c>
      <c r="B18" s="1739"/>
      <c r="C18" s="405"/>
      <c r="D18" s="406"/>
      <c r="E18" s="407"/>
      <c r="F18" s="407"/>
      <c r="G18" s="407"/>
      <c r="H18" s="406"/>
      <c r="I18" s="407"/>
      <c r="J18" s="1739"/>
      <c r="K18" s="405"/>
      <c r="L18" s="406"/>
      <c r="M18" s="407"/>
      <c r="N18" s="1739"/>
      <c r="O18" s="405"/>
      <c r="P18" s="406"/>
      <c r="Q18" s="407"/>
      <c r="R18" s="1739"/>
      <c r="S18" s="408"/>
    </row>
    <row r="19" spans="1:19" ht="13">
      <c r="A19" s="1740"/>
      <c r="B19" s="1730"/>
      <c r="C19" s="409"/>
      <c r="D19" s="410"/>
      <c r="E19" s="411"/>
      <c r="F19" s="411"/>
      <c r="G19" s="411"/>
      <c r="H19" s="410"/>
      <c r="I19" s="411"/>
      <c r="J19" s="1730"/>
      <c r="K19" s="409"/>
      <c r="L19" s="410"/>
      <c r="M19" s="411"/>
      <c r="N19" s="1730"/>
      <c r="O19" s="409"/>
      <c r="P19" s="410" t="s">
        <v>1517</v>
      </c>
      <c r="Q19" s="411"/>
      <c r="R19" s="1730"/>
      <c r="S19" s="412"/>
    </row>
    <row r="20" spans="1:19">
      <c r="B20" s="413">
        <v>350.1</v>
      </c>
      <c r="C20" s="411">
        <v>1.32E-2</v>
      </c>
      <c r="D20" s="414">
        <v>0.36016199999999998</v>
      </c>
      <c r="E20" s="411">
        <v>4.7540000000000004E-3</v>
      </c>
      <c r="F20" s="411"/>
      <c r="G20" s="411">
        <v>1.4800000000000001E-2</v>
      </c>
      <c r="H20" s="414">
        <v>0.20066800000000001</v>
      </c>
      <c r="I20" s="411">
        <v>2.97E-3</v>
      </c>
      <c r="J20" s="1730"/>
      <c r="K20" s="411">
        <v>1.3299999999999999E-2</v>
      </c>
      <c r="L20" s="414">
        <v>0.43917</v>
      </c>
      <c r="M20" s="411">
        <v>5.8409999999999998E-3</v>
      </c>
      <c r="N20" s="1730"/>
      <c r="O20" s="411">
        <v>1.8200000000000001E-2</v>
      </c>
      <c r="P20" s="414">
        <v>0</v>
      </c>
      <c r="Q20" s="411">
        <v>0</v>
      </c>
      <c r="R20" s="1730"/>
      <c r="S20" s="415">
        <v>1.3599999999999999E-2</v>
      </c>
    </row>
    <row r="21" spans="1:19" ht="13">
      <c r="A21" s="1740"/>
      <c r="B21" s="413">
        <v>352</v>
      </c>
      <c r="C21" s="411">
        <v>1.4500000000000001E-2</v>
      </c>
      <c r="D21" s="414">
        <v>0.36016199999999998</v>
      </c>
      <c r="E21" s="411">
        <v>5.2220000000000001E-3</v>
      </c>
      <c r="F21" s="411"/>
      <c r="G21" s="411">
        <v>1.3599999999999999E-2</v>
      </c>
      <c r="H21" s="414">
        <v>0.20066800000000001</v>
      </c>
      <c r="I21" s="411">
        <v>2.7290000000000001E-3</v>
      </c>
      <c r="J21" s="1730"/>
      <c r="K21" s="411">
        <v>1.46E-2</v>
      </c>
      <c r="L21" s="414">
        <v>0.43917</v>
      </c>
      <c r="M21" s="411">
        <v>6.4120000000000002E-3</v>
      </c>
      <c r="N21" s="1730"/>
      <c r="O21" s="411">
        <v>1.8200000000000001E-2</v>
      </c>
      <c r="P21" s="414">
        <v>0</v>
      </c>
      <c r="Q21" s="411">
        <v>0</v>
      </c>
      <c r="R21" s="1730"/>
      <c r="S21" s="415">
        <v>1.44E-2</v>
      </c>
    </row>
    <row r="22" spans="1:19" ht="13">
      <c r="A22" s="1740"/>
      <c r="B22" s="413">
        <v>353</v>
      </c>
      <c r="C22" s="411">
        <v>1.5299999999999999E-2</v>
      </c>
      <c r="D22" s="414">
        <v>0.36016199999999998</v>
      </c>
      <c r="E22" s="411">
        <v>5.5100000000000001E-3</v>
      </c>
      <c r="F22" s="411"/>
      <c r="G22" s="411">
        <v>1.4200000000000001E-2</v>
      </c>
      <c r="H22" s="414">
        <v>0.20066800000000001</v>
      </c>
      <c r="I22" s="411">
        <v>2.849E-3</v>
      </c>
      <c r="J22" s="1730"/>
      <c r="K22" s="411">
        <v>1.54E-2</v>
      </c>
      <c r="L22" s="414">
        <v>0.43917</v>
      </c>
      <c r="M22" s="411">
        <v>6.7629999999999999E-3</v>
      </c>
      <c r="N22" s="1730"/>
      <c r="O22" s="411">
        <v>1.89E-2</v>
      </c>
      <c r="P22" s="414">
        <v>0</v>
      </c>
      <c r="Q22" s="411">
        <v>0</v>
      </c>
      <c r="R22" s="1730"/>
      <c r="S22" s="415">
        <v>1.5100000000000001E-2</v>
      </c>
    </row>
    <row r="23" spans="1:19" ht="13">
      <c r="A23" s="1740"/>
      <c r="B23" s="413">
        <v>353.16</v>
      </c>
      <c r="C23" s="411">
        <v>1.5299999999999999E-2</v>
      </c>
      <c r="D23" s="414">
        <v>0.36016199999999998</v>
      </c>
      <c r="E23" s="411">
        <v>5.5100000000000001E-3</v>
      </c>
      <c r="F23" s="411"/>
      <c r="G23" s="411">
        <v>1.47E-2</v>
      </c>
      <c r="H23" s="414">
        <v>0.20066800000000001</v>
      </c>
      <c r="I23" s="411">
        <v>2.9499999999999999E-3</v>
      </c>
      <c r="J23" s="1730"/>
      <c r="K23" s="411">
        <v>1.54E-2</v>
      </c>
      <c r="L23" s="414">
        <v>0.43917</v>
      </c>
      <c r="M23" s="411">
        <v>6.7629999999999999E-3</v>
      </c>
      <c r="N23" s="1730"/>
      <c r="O23" s="411">
        <v>1.89E-2</v>
      </c>
      <c r="P23" s="414">
        <v>0</v>
      </c>
      <c r="Q23" s="411">
        <v>0</v>
      </c>
      <c r="R23" s="1730"/>
      <c r="S23" s="415">
        <v>1.52E-2</v>
      </c>
    </row>
    <row r="24" spans="1:19" ht="13">
      <c r="A24" s="1740"/>
      <c r="B24" s="413">
        <v>354</v>
      </c>
      <c r="C24" s="411">
        <v>1.41E-2</v>
      </c>
      <c r="D24" s="414">
        <v>0.36016199999999998</v>
      </c>
      <c r="E24" s="411">
        <v>5.078E-3</v>
      </c>
      <c r="F24" s="411"/>
      <c r="G24" s="411">
        <v>1.5900000000000001E-2</v>
      </c>
      <c r="H24" s="414">
        <v>0.20066800000000001</v>
      </c>
      <c r="I24" s="411">
        <v>3.1909999999999998E-3</v>
      </c>
      <c r="J24" s="1730"/>
      <c r="K24" s="411">
        <v>1.14E-2</v>
      </c>
      <c r="L24" s="414">
        <v>0.43917</v>
      </c>
      <c r="M24" s="411">
        <v>5.0070000000000002E-3</v>
      </c>
      <c r="N24" s="1730"/>
      <c r="O24" s="411">
        <v>0.02</v>
      </c>
      <c r="P24" s="414">
        <v>0</v>
      </c>
      <c r="Q24" s="411">
        <v>0</v>
      </c>
      <c r="R24" s="1730"/>
      <c r="S24" s="415">
        <v>1.3299999999999999E-2</v>
      </c>
    </row>
    <row r="25" spans="1:19" ht="13">
      <c r="A25" s="1740"/>
      <c r="B25" s="413">
        <v>355</v>
      </c>
      <c r="C25" s="411">
        <v>3.4000000000000002E-2</v>
      </c>
      <c r="D25" s="414">
        <v>0.36016199999999998</v>
      </c>
      <c r="E25" s="411">
        <v>1.2246E-2</v>
      </c>
      <c r="F25" s="411"/>
      <c r="G25" s="411">
        <v>3.5200000000000002E-2</v>
      </c>
      <c r="H25" s="414">
        <v>0.20066800000000001</v>
      </c>
      <c r="I25" s="411">
        <v>7.064E-3</v>
      </c>
      <c r="J25" s="1730"/>
      <c r="K25" s="411">
        <v>3.1800000000000002E-2</v>
      </c>
      <c r="L25" s="414">
        <v>0.43917</v>
      </c>
      <c r="M25" s="411">
        <v>1.3965999999999999E-2</v>
      </c>
      <c r="N25" s="1730"/>
      <c r="O25" s="411">
        <v>2.75E-2</v>
      </c>
      <c r="P25" s="414">
        <v>0</v>
      </c>
      <c r="Q25" s="411">
        <v>0</v>
      </c>
      <c r="R25" s="1730"/>
      <c r="S25" s="415">
        <v>3.3300000000000003E-2</v>
      </c>
    </row>
    <row r="26" spans="1:19" ht="13">
      <c r="A26" s="1740"/>
      <c r="B26" s="413">
        <v>356</v>
      </c>
      <c r="C26" s="411">
        <v>2.0500000000000001E-2</v>
      </c>
      <c r="D26" s="414">
        <v>0.36016199999999998</v>
      </c>
      <c r="E26" s="411">
        <v>7.3829999999999998E-3</v>
      </c>
      <c r="F26" s="411"/>
      <c r="G26" s="411">
        <v>2.1600000000000001E-2</v>
      </c>
      <c r="H26" s="414">
        <v>0.20066800000000001</v>
      </c>
      <c r="I26" s="411">
        <v>4.3340000000000002E-3</v>
      </c>
      <c r="J26" s="1730"/>
      <c r="K26" s="411">
        <v>2.07E-2</v>
      </c>
      <c r="L26" s="414">
        <v>0.43917</v>
      </c>
      <c r="M26" s="411">
        <v>9.0910000000000001E-3</v>
      </c>
      <c r="N26" s="1730"/>
      <c r="O26" s="411">
        <v>2.75E-2</v>
      </c>
      <c r="P26" s="414">
        <v>0</v>
      </c>
      <c r="Q26" s="411">
        <v>0</v>
      </c>
      <c r="R26" s="1730"/>
      <c r="S26" s="415">
        <v>2.0799999999999999E-2</v>
      </c>
    </row>
    <row r="27" spans="1:19" ht="13">
      <c r="A27" s="1740"/>
      <c r="B27" s="413">
        <v>356.16</v>
      </c>
      <c r="C27" s="411">
        <v>2.0500000000000001E-2</v>
      </c>
      <c r="D27" s="414">
        <v>0.36016199999999998</v>
      </c>
      <c r="E27" s="411">
        <v>7.3829999999999998E-3</v>
      </c>
      <c r="F27" s="411"/>
      <c r="G27" s="411">
        <v>1.7999999999999999E-2</v>
      </c>
      <c r="H27" s="414">
        <v>0.20066800000000001</v>
      </c>
      <c r="I27" s="411">
        <v>3.6120000000000002E-3</v>
      </c>
      <c r="J27" s="1730"/>
      <c r="K27" s="411">
        <v>2.07E-2</v>
      </c>
      <c r="L27" s="414">
        <v>0.43917</v>
      </c>
      <c r="M27" s="411">
        <v>9.0910000000000001E-3</v>
      </c>
      <c r="N27" s="1730"/>
      <c r="O27" s="411">
        <v>2.75E-2</v>
      </c>
      <c r="P27" s="414">
        <v>0</v>
      </c>
      <c r="Q27" s="411">
        <v>0</v>
      </c>
      <c r="R27" s="1730"/>
      <c r="S27" s="415">
        <v>2.01E-2</v>
      </c>
    </row>
    <row r="28" spans="1:19">
      <c r="A28" s="1741"/>
      <c r="B28" s="413">
        <v>357</v>
      </c>
      <c r="C28" s="411">
        <v>1.9900000000000001E-2</v>
      </c>
      <c r="D28" s="414">
        <v>0.36016199999999998</v>
      </c>
      <c r="E28" s="411">
        <v>7.1669999999999998E-3</v>
      </c>
      <c r="F28" s="411"/>
      <c r="G28" s="411">
        <v>2.0199999999999999E-2</v>
      </c>
      <c r="H28" s="414">
        <v>0.20066800000000001</v>
      </c>
      <c r="I28" s="411">
        <v>4.0530000000000002E-3</v>
      </c>
      <c r="J28" s="1730"/>
      <c r="K28" s="411">
        <v>1.9900000000000001E-2</v>
      </c>
      <c r="L28" s="414">
        <v>0.43917</v>
      </c>
      <c r="M28" s="411">
        <v>8.7390000000000002E-3</v>
      </c>
      <c r="N28" s="1730"/>
      <c r="O28" s="411">
        <v>1.01E-2</v>
      </c>
      <c r="P28" s="414">
        <v>0</v>
      </c>
      <c r="Q28" s="411">
        <v>0</v>
      </c>
      <c r="R28" s="1730"/>
      <c r="S28" s="415">
        <v>0.02</v>
      </c>
    </row>
    <row r="29" spans="1:19">
      <c r="A29" s="1741"/>
      <c r="B29" s="413">
        <v>358</v>
      </c>
      <c r="C29" s="411">
        <v>1.9900000000000001E-2</v>
      </c>
      <c r="D29" s="414">
        <v>0.36016199999999998</v>
      </c>
      <c r="E29" s="411">
        <v>7.1669999999999998E-3</v>
      </c>
      <c r="F29" s="411"/>
      <c r="G29" s="411">
        <v>1.0200000000000001E-2</v>
      </c>
      <c r="H29" s="414">
        <v>0.20066800000000001</v>
      </c>
      <c r="I29" s="411">
        <v>2.0470000000000002E-3</v>
      </c>
      <c r="J29" s="1730"/>
      <c r="K29" s="411">
        <v>1.9900000000000001E-2</v>
      </c>
      <c r="L29" s="414">
        <v>0.43917</v>
      </c>
      <c r="M29" s="411">
        <v>8.7390000000000002E-3</v>
      </c>
      <c r="N29" s="1730"/>
      <c r="O29" s="411">
        <v>1.8800000000000001E-2</v>
      </c>
      <c r="P29" s="414">
        <v>0</v>
      </c>
      <c r="Q29" s="411">
        <v>0</v>
      </c>
      <c r="R29" s="1730"/>
      <c r="S29" s="415">
        <v>1.7999999999999999E-2</v>
      </c>
    </row>
    <row r="30" spans="1:19">
      <c r="A30" s="1741"/>
      <c r="B30" s="413">
        <v>358.16</v>
      </c>
      <c r="C30" s="411">
        <v>1.9900000000000001E-2</v>
      </c>
      <c r="D30" s="414">
        <v>0.36016199999999998</v>
      </c>
      <c r="E30" s="411">
        <v>7.1669999999999998E-3</v>
      </c>
      <c r="F30" s="411"/>
      <c r="G30" s="411">
        <v>0.02</v>
      </c>
      <c r="H30" s="414">
        <v>0.20066800000000001</v>
      </c>
      <c r="I30" s="411">
        <v>4.0130000000000001E-3</v>
      </c>
      <c r="J30" s="1730"/>
      <c r="K30" s="411">
        <v>1.9900000000000001E-2</v>
      </c>
      <c r="L30" s="414">
        <v>0.43917</v>
      </c>
      <c r="M30" s="411">
        <v>8.7390000000000002E-3</v>
      </c>
      <c r="N30" s="1730"/>
      <c r="O30" s="411">
        <v>1.8800000000000001E-2</v>
      </c>
      <c r="P30" s="414">
        <v>0</v>
      </c>
      <c r="Q30" s="411">
        <v>0</v>
      </c>
      <c r="R30" s="1730"/>
      <c r="S30" s="415">
        <v>1.9900000000000001E-2</v>
      </c>
    </row>
    <row r="31" spans="1:19">
      <c r="A31" s="1741"/>
      <c r="B31" s="413">
        <v>359</v>
      </c>
      <c r="C31" s="411">
        <v>1.3299999999999999E-2</v>
      </c>
      <c r="D31" s="414">
        <v>0.36016199999999998</v>
      </c>
      <c r="E31" s="411">
        <v>4.79E-3</v>
      </c>
      <c r="F31" s="411"/>
      <c r="G31" s="411">
        <v>0</v>
      </c>
      <c r="H31" s="414">
        <v>0.20066800000000001</v>
      </c>
      <c r="I31" s="411">
        <v>0</v>
      </c>
      <c r="J31" s="1730"/>
      <c r="K31" s="411">
        <v>1.35E-2</v>
      </c>
      <c r="L31" s="414">
        <v>0.43917</v>
      </c>
      <c r="M31" s="411">
        <v>5.9290000000000002E-3</v>
      </c>
      <c r="N31" s="1730"/>
      <c r="O31" s="411">
        <v>7.7000000000000002E-3</v>
      </c>
      <c r="P31" s="414">
        <v>0</v>
      </c>
      <c r="Q31" s="411">
        <v>0</v>
      </c>
      <c r="R31" s="1730"/>
      <c r="S31" s="415">
        <v>1.0699999999999999E-2</v>
      </c>
    </row>
    <row r="32" spans="1:19" ht="13.5" thickBot="1">
      <c r="A32" s="1742"/>
      <c r="B32" s="1743"/>
      <c r="C32" s="416"/>
      <c r="D32" s="417"/>
      <c r="E32" s="418"/>
      <c r="F32" s="418"/>
      <c r="G32" s="418"/>
      <c r="H32" s="417"/>
      <c r="I32" s="418"/>
      <c r="J32" s="1743"/>
      <c r="K32" s="416"/>
      <c r="L32" s="417"/>
      <c r="M32" s="418"/>
      <c r="N32" s="1743"/>
      <c r="O32" s="416"/>
      <c r="P32" s="417"/>
      <c r="Q32" s="418"/>
      <c r="R32" s="1743"/>
      <c r="S32" s="419"/>
    </row>
    <row r="33" spans="1:19" ht="13">
      <c r="A33" s="1738" t="s">
        <v>840</v>
      </c>
      <c r="B33" s="1739"/>
      <c r="C33" s="405"/>
      <c r="D33" s="406"/>
      <c r="E33" s="407"/>
      <c r="F33" s="407"/>
      <c r="G33" s="407"/>
      <c r="H33" s="406"/>
      <c r="I33" s="407"/>
      <c r="J33" s="1739"/>
      <c r="K33" s="405"/>
      <c r="L33" s="406"/>
      <c r="M33" s="407"/>
      <c r="N33" s="1739"/>
      <c r="O33" s="405"/>
      <c r="P33" s="406"/>
      <c r="Q33" s="407"/>
      <c r="R33" s="1739"/>
      <c r="S33" s="408"/>
    </row>
    <row r="34" spans="1:19" ht="13">
      <c r="A34" s="1740"/>
      <c r="B34" s="1730"/>
      <c r="C34" s="409"/>
      <c r="D34" s="410"/>
      <c r="E34" s="411"/>
      <c r="F34" s="411"/>
      <c r="G34" s="411"/>
      <c r="H34" s="410"/>
      <c r="I34" s="411"/>
      <c r="J34" s="1730"/>
      <c r="K34" s="409"/>
      <c r="L34" s="410"/>
      <c r="M34" s="411"/>
      <c r="N34" s="1730"/>
      <c r="O34" s="409"/>
      <c r="P34" s="410"/>
      <c r="Q34" s="411"/>
      <c r="R34" s="1730"/>
      <c r="S34" s="412"/>
    </row>
    <row r="35" spans="1:19" ht="13">
      <c r="A35" s="1740"/>
      <c r="B35" s="413">
        <v>390</v>
      </c>
      <c r="C35" s="411">
        <v>1.23E-2</v>
      </c>
      <c r="D35" s="414">
        <v>0.38492999999999999</v>
      </c>
      <c r="E35" s="411">
        <v>4.7349999999999996E-3</v>
      </c>
      <c r="F35" s="411"/>
      <c r="G35" s="411">
        <v>1.54E-2</v>
      </c>
      <c r="H35" s="414">
        <v>0.19858799999999999</v>
      </c>
      <c r="I35" s="411">
        <v>3.058E-3</v>
      </c>
      <c r="J35" s="1730"/>
      <c r="K35" s="1744">
        <v>1.8599999999999998E-2</v>
      </c>
      <c r="L35" s="414">
        <v>0.36871599999999999</v>
      </c>
      <c r="M35" s="411">
        <v>6.8580000000000004E-3</v>
      </c>
      <c r="N35" s="1730"/>
      <c r="O35" s="1744">
        <v>1.6199999999999999E-2</v>
      </c>
      <c r="P35" s="414">
        <v>4.7766000000000003E-2</v>
      </c>
      <c r="Q35" s="411">
        <v>7.7399999999999995E-4</v>
      </c>
      <c r="R35" s="1730"/>
      <c r="S35" s="415">
        <v>1.54E-2</v>
      </c>
    </row>
    <row r="36" spans="1:19" ht="13">
      <c r="A36" s="1740"/>
      <c r="B36" s="413">
        <v>391</v>
      </c>
      <c r="C36" s="411">
        <v>0</v>
      </c>
      <c r="D36" s="414">
        <v>0.38492999999999999</v>
      </c>
      <c r="E36" s="411">
        <v>0</v>
      </c>
      <c r="F36" s="411"/>
      <c r="G36" s="411">
        <v>5.1900000000000002E-2</v>
      </c>
      <c r="H36" s="414">
        <v>0.19858799999999999</v>
      </c>
      <c r="I36" s="411">
        <v>1.0307E-2</v>
      </c>
      <c r="J36" s="1730"/>
      <c r="K36" s="1744">
        <v>4.3400000000000001E-2</v>
      </c>
      <c r="L36" s="414">
        <v>0.36871599999999999</v>
      </c>
      <c r="M36" s="411">
        <v>1.6001999999999999E-2</v>
      </c>
      <c r="N36" s="1730"/>
      <c r="O36" s="1744">
        <v>4.3200000000000002E-2</v>
      </c>
      <c r="P36" s="414">
        <v>4.7766000000000003E-2</v>
      </c>
      <c r="Q36" s="411">
        <v>2.0630000000000002E-3</v>
      </c>
      <c r="R36" s="1730"/>
      <c r="S36" s="415">
        <v>2.8400000000000002E-2</v>
      </c>
    </row>
    <row r="37" spans="1:19" ht="13">
      <c r="A37" s="1740"/>
      <c r="B37" s="413">
        <v>391.1</v>
      </c>
      <c r="C37" s="411">
        <v>0</v>
      </c>
      <c r="D37" s="414">
        <v>0.38492999999999999</v>
      </c>
      <c r="E37" s="411">
        <v>0</v>
      </c>
      <c r="F37" s="411"/>
      <c r="G37" s="411">
        <v>0.31740000000000002</v>
      </c>
      <c r="H37" s="414">
        <v>0.19858799999999999</v>
      </c>
      <c r="I37" s="411">
        <v>6.3032000000000005E-2</v>
      </c>
      <c r="J37" s="1730"/>
      <c r="K37" s="1744">
        <v>0.16550000000000001</v>
      </c>
      <c r="L37" s="414">
        <v>0.36871599999999999</v>
      </c>
      <c r="M37" s="411">
        <v>6.1022E-2</v>
      </c>
      <c r="N37" s="1730"/>
      <c r="O37" s="1744">
        <v>0.1069</v>
      </c>
      <c r="P37" s="414">
        <v>4.7766000000000003E-2</v>
      </c>
      <c r="Q37" s="411">
        <v>5.1060000000000003E-3</v>
      </c>
      <c r="R37" s="1730"/>
      <c r="S37" s="415">
        <v>0.12920000000000001</v>
      </c>
    </row>
    <row r="38" spans="1:19">
      <c r="A38" s="1745"/>
      <c r="B38" s="413">
        <v>392</v>
      </c>
      <c r="C38" s="411">
        <v>0</v>
      </c>
      <c r="D38" s="414">
        <v>0.38492999999999999</v>
      </c>
      <c r="E38" s="411">
        <v>0</v>
      </c>
      <c r="F38" s="411"/>
      <c r="G38" s="411">
        <v>1.8700000000000001E-2</v>
      </c>
      <c r="H38" s="414">
        <v>0.19858799999999999</v>
      </c>
      <c r="I38" s="411">
        <v>3.7139999999999999E-3</v>
      </c>
      <c r="J38" s="1730"/>
      <c r="K38" s="1744">
        <v>5.4100000000000002E-2</v>
      </c>
      <c r="L38" s="414">
        <v>0.36871599999999999</v>
      </c>
      <c r="M38" s="411">
        <v>1.9948E-2</v>
      </c>
      <c r="N38" s="1730"/>
      <c r="O38" s="1744">
        <v>1.8200000000000001E-2</v>
      </c>
      <c r="P38" s="414">
        <v>4.7766000000000003E-2</v>
      </c>
      <c r="Q38" s="411">
        <v>8.6899999999999998E-4</v>
      </c>
      <c r="R38" s="1730"/>
      <c r="S38" s="415">
        <v>2.4500000000000001E-2</v>
      </c>
    </row>
    <row r="39" spans="1:19" ht="13">
      <c r="A39" s="1740"/>
      <c r="B39" s="413">
        <v>393</v>
      </c>
      <c r="C39" s="411">
        <v>0</v>
      </c>
      <c r="D39" s="414">
        <v>0.38492999999999999</v>
      </c>
      <c r="E39" s="411">
        <v>0</v>
      </c>
      <c r="F39" s="411"/>
      <c r="G39" s="411">
        <v>3.7900000000000003E-2</v>
      </c>
      <c r="H39" s="414">
        <v>0.19858799999999999</v>
      </c>
      <c r="I39" s="411">
        <v>7.5259999999999997E-3</v>
      </c>
      <c r="J39" s="1730"/>
      <c r="K39" s="1744">
        <v>3.9100000000000003E-2</v>
      </c>
      <c r="L39" s="414">
        <v>0.36871599999999999</v>
      </c>
      <c r="M39" s="411">
        <v>1.4416999999999999E-2</v>
      </c>
      <c r="N39" s="1730"/>
      <c r="O39" s="1744">
        <v>3.9399999999999998E-2</v>
      </c>
      <c r="P39" s="414">
        <v>4.7766000000000003E-2</v>
      </c>
      <c r="Q39" s="411">
        <v>1.882E-3</v>
      </c>
      <c r="R39" s="1730"/>
      <c r="S39" s="415">
        <v>2.3800000000000002E-2</v>
      </c>
    </row>
    <row r="40" spans="1:19" ht="13">
      <c r="A40" s="1740"/>
      <c r="B40" s="413">
        <v>394</v>
      </c>
      <c r="C40" s="411">
        <v>9.5999999999999992E-3</v>
      </c>
      <c r="D40" s="414">
        <v>0.38492999999999999</v>
      </c>
      <c r="E40" s="411">
        <v>3.6949999999999999E-3</v>
      </c>
      <c r="F40" s="411"/>
      <c r="G40" s="411">
        <v>3.0200000000000001E-2</v>
      </c>
      <c r="H40" s="414">
        <v>0.19858799999999999</v>
      </c>
      <c r="I40" s="411">
        <v>5.9969999999999997E-3</v>
      </c>
      <c r="J40" s="1730"/>
      <c r="K40" s="1744">
        <v>3.0499999999999999E-2</v>
      </c>
      <c r="L40" s="414">
        <v>0.36871599999999999</v>
      </c>
      <c r="M40" s="411">
        <v>1.1246000000000001E-2</v>
      </c>
      <c r="N40" s="1730"/>
      <c r="O40" s="1744">
        <v>3.0800000000000001E-2</v>
      </c>
      <c r="P40" s="414">
        <v>4.7766000000000003E-2</v>
      </c>
      <c r="Q40" s="411">
        <v>1.4710000000000001E-3</v>
      </c>
      <c r="R40" s="1730"/>
      <c r="S40" s="415">
        <v>2.24E-2</v>
      </c>
    </row>
    <row r="41" spans="1:19" ht="13">
      <c r="A41" s="1740"/>
      <c r="B41" s="413">
        <v>395</v>
      </c>
      <c r="C41" s="411">
        <v>0</v>
      </c>
      <c r="D41" s="414">
        <v>0.38492999999999999</v>
      </c>
      <c r="E41" s="411">
        <v>0</v>
      </c>
      <c r="F41" s="411"/>
      <c r="G41" s="411">
        <v>1.84E-2</v>
      </c>
      <c r="H41" s="414">
        <v>0.19858799999999999</v>
      </c>
      <c r="I41" s="411">
        <v>3.6540000000000001E-3</v>
      </c>
      <c r="J41" s="1730"/>
      <c r="K41" s="1744">
        <v>3.7199999999999997E-2</v>
      </c>
      <c r="L41" s="414">
        <v>0.36871599999999999</v>
      </c>
      <c r="M41" s="411">
        <v>1.3716000000000001E-2</v>
      </c>
      <c r="N41" s="1730"/>
      <c r="O41" s="1744">
        <v>1.52E-2</v>
      </c>
      <c r="P41" s="414">
        <v>4.7766000000000003E-2</v>
      </c>
      <c r="Q41" s="411">
        <v>7.2599999999999997E-4</v>
      </c>
      <c r="R41" s="1730"/>
      <c r="S41" s="415">
        <v>1.8100000000000002E-2</v>
      </c>
    </row>
    <row r="42" spans="1:19" ht="13">
      <c r="A42" s="1740"/>
      <c r="B42" s="413">
        <v>396</v>
      </c>
      <c r="C42" s="411">
        <v>0</v>
      </c>
      <c r="D42" s="414">
        <v>0.38492999999999999</v>
      </c>
      <c r="E42" s="411">
        <v>0</v>
      </c>
      <c r="F42" s="411"/>
      <c r="G42" s="411">
        <v>0.14410000000000001</v>
      </c>
      <c r="H42" s="414">
        <v>0.19858799999999999</v>
      </c>
      <c r="I42" s="411">
        <v>2.8617E-2</v>
      </c>
      <c r="J42" s="1730"/>
      <c r="K42" s="1744">
        <v>5.3499999999999999E-2</v>
      </c>
      <c r="L42" s="414">
        <v>0.36871599999999999</v>
      </c>
      <c r="M42" s="411">
        <v>1.9726E-2</v>
      </c>
      <c r="N42" s="1730"/>
      <c r="O42" s="1744">
        <v>5.5300000000000002E-2</v>
      </c>
      <c r="P42" s="414">
        <v>4.7766000000000003E-2</v>
      </c>
      <c r="Q42" s="411">
        <v>2.6410000000000001E-3</v>
      </c>
      <c r="R42" s="1730"/>
      <c r="S42" s="415">
        <v>5.0999999999999997E-2</v>
      </c>
    </row>
    <row r="43" spans="1:19" ht="13">
      <c r="A43" s="1740"/>
      <c r="B43" s="413">
        <v>397</v>
      </c>
      <c r="C43" s="411">
        <v>1.46E-2</v>
      </c>
      <c r="D43" s="414">
        <v>0.38492999999999999</v>
      </c>
      <c r="E43" s="411">
        <v>5.62E-3</v>
      </c>
      <c r="F43" s="411"/>
      <c r="G43" s="411">
        <v>5.28E-2</v>
      </c>
      <c r="H43" s="414">
        <v>0.19858799999999999</v>
      </c>
      <c r="I43" s="411">
        <v>1.0485E-2</v>
      </c>
      <c r="J43" s="1730"/>
      <c r="K43" s="1744">
        <v>5.3100000000000001E-2</v>
      </c>
      <c r="L43" s="414">
        <v>0.36871599999999999</v>
      </c>
      <c r="M43" s="411">
        <v>1.9578999999999999E-2</v>
      </c>
      <c r="N43" s="1730"/>
      <c r="O43" s="1744">
        <v>8.7900000000000006E-2</v>
      </c>
      <c r="P43" s="414">
        <v>4.7766000000000003E-2</v>
      </c>
      <c r="Q43" s="411">
        <v>4.1989999999999996E-3</v>
      </c>
      <c r="R43" s="1730"/>
      <c r="S43" s="415">
        <v>3.9899999999999998E-2</v>
      </c>
    </row>
    <row r="44" spans="1:19" ht="13">
      <c r="A44" s="1740"/>
      <c r="B44" s="413">
        <v>398</v>
      </c>
      <c r="C44" s="411">
        <v>0</v>
      </c>
      <c r="D44" s="414">
        <v>0.38492999999999999</v>
      </c>
      <c r="E44" s="411">
        <v>0</v>
      </c>
      <c r="F44" s="411"/>
      <c r="G44" s="411">
        <v>6.1600000000000002E-2</v>
      </c>
      <c r="H44" s="414">
        <v>0.19858799999999999</v>
      </c>
      <c r="I44" s="411">
        <v>1.2233000000000001E-2</v>
      </c>
      <c r="J44" s="1730"/>
      <c r="K44" s="1744">
        <v>5.5100000000000003E-2</v>
      </c>
      <c r="L44" s="414">
        <v>0.36871599999999999</v>
      </c>
      <c r="M44" s="411">
        <v>2.0316000000000001E-2</v>
      </c>
      <c r="N44" s="1730"/>
      <c r="O44" s="1744">
        <v>6.3200000000000006E-2</v>
      </c>
      <c r="P44" s="414">
        <v>4.7766000000000003E-2</v>
      </c>
      <c r="Q44" s="411">
        <v>3.019E-3</v>
      </c>
      <c r="R44" s="1730"/>
      <c r="S44" s="415">
        <v>3.56E-2</v>
      </c>
    </row>
    <row r="45" spans="1:19">
      <c r="A45" s="1741"/>
      <c r="B45" s="413">
        <v>399.3</v>
      </c>
      <c r="C45" s="411" t="s">
        <v>1900</v>
      </c>
      <c r="D45" s="414">
        <v>0.38492999999999999</v>
      </c>
      <c r="E45" s="411">
        <v>0</v>
      </c>
      <c r="F45" s="411"/>
      <c r="G45" s="411">
        <v>0</v>
      </c>
      <c r="H45" s="414">
        <v>0.19858799999999999</v>
      </c>
      <c r="I45" s="411">
        <v>0</v>
      </c>
      <c r="J45" s="1730"/>
      <c r="K45" s="1744">
        <v>0</v>
      </c>
      <c r="L45" s="414">
        <v>0.36871599999999999</v>
      </c>
      <c r="M45" s="411">
        <v>0</v>
      </c>
      <c r="N45" s="1730"/>
      <c r="O45" s="1744">
        <v>0</v>
      </c>
      <c r="P45" s="414">
        <v>4.7766000000000003E-2</v>
      </c>
      <c r="Q45" s="411">
        <v>0</v>
      </c>
      <c r="R45" s="1730"/>
      <c r="S45" s="415">
        <v>0</v>
      </c>
    </row>
    <row r="46" spans="1:19" ht="16" thickBot="1">
      <c r="A46" s="1746"/>
      <c r="B46" s="1743"/>
      <c r="C46" s="416"/>
      <c r="D46" s="417"/>
      <c r="E46" s="418"/>
      <c r="F46" s="418"/>
      <c r="G46" s="418"/>
      <c r="H46" s="417"/>
      <c r="I46" s="418"/>
      <c r="J46" s="1743"/>
      <c r="K46" s="416"/>
      <c r="L46" s="417"/>
      <c r="M46" s="418"/>
      <c r="N46" s="1743"/>
      <c r="O46" s="416"/>
      <c r="P46" s="417"/>
      <c r="Q46" s="418"/>
      <c r="R46" s="1743"/>
      <c r="S46" s="419"/>
    </row>
    <row r="48" spans="1:19">
      <c r="A48" s="2436" t="s">
        <v>841</v>
      </c>
      <c r="B48" s="2436"/>
      <c r="C48" s="2436"/>
      <c r="D48" s="2436"/>
      <c r="E48" s="2436"/>
      <c r="F48" s="2436"/>
      <c r="G48" s="2436"/>
      <c r="H48" s="2436"/>
      <c r="I48" s="2436"/>
      <c r="J48" s="2436"/>
      <c r="K48" s="2436"/>
      <c r="L48" s="2436"/>
      <c r="M48" s="2436"/>
      <c r="N48" s="2436"/>
      <c r="O48" s="2436"/>
      <c r="P48" s="2436"/>
      <c r="Q48" s="2436"/>
      <c r="R48" s="2436"/>
      <c r="S48" s="2436"/>
    </row>
    <row r="49" spans="1:19">
      <c r="A49" s="2436" t="s">
        <v>842</v>
      </c>
      <c r="B49" s="2436"/>
      <c r="C49" s="2436"/>
      <c r="D49" s="2436"/>
      <c r="E49" s="2436"/>
      <c r="F49" s="2436"/>
      <c r="G49" s="2436"/>
      <c r="H49" s="2436"/>
      <c r="I49" s="2436"/>
      <c r="J49" s="2436"/>
      <c r="K49" s="2436"/>
      <c r="L49" s="2436"/>
      <c r="M49" s="2436"/>
      <c r="N49" s="2436"/>
      <c r="O49" s="2436"/>
      <c r="P49" s="2436"/>
      <c r="Q49" s="2436"/>
      <c r="R49" s="2436"/>
      <c r="S49" s="2436"/>
    </row>
    <row r="50" spans="1:19">
      <c r="A50" s="2436" t="s">
        <v>1270</v>
      </c>
      <c r="B50" s="2436"/>
      <c r="C50" s="2436"/>
      <c r="D50" s="2436"/>
      <c r="E50" s="2436"/>
      <c r="F50" s="2436"/>
      <c r="G50" s="2436"/>
      <c r="H50" s="2436"/>
      <c r="I50" s="2436"/>
      <c r="J50" s="2436"/>
      <c r="K50" s="2436"/>
      <c r="L50" s="2436"/>
      <c r="M50" s="2436"/>
      <c r="N50" s="2436"/>
      <c r="O50" s="2436"/>
      <c r="P50" s="2436"/>
      <c r="Q50" s="2436"/>
      <c r="R50" s="2436"/>
      <c r="S50" s="2436"/>
    </row>
    <row r="51" spans="1:19">
      <c r="A51" s="2436" t="s">
        <v>843</v>
      </c>
      <c r="B51" s="2436"/>
      <c r="C51" s="2436"/>
      <c r="D51" s="2436"/>
      <c r="E51" s="2436"/>
      <c r="F51" s="2436"/>
      <c r="G51" s="2436"/>
      <c r="H51" s="2436"/>
      <c r="I51" s="2436"/>
      <c r="J51" s="2436"/>
      <c r="K51" s="2436"/>
      <c r="L51" s="2436"/>
      <c r="M51" s="2436"/>
      <c r="N51" s="2436"/>
      <c r="O51" s="2436"/>
      <c r="P51" s="2436"/>
      <c r="Q51" s="2436"/>
      <c r="R51" s="2436"/>
      <c r="S51" s="2436"/>
    </row>
    <row r="53" spans="1:19">
      <c r="A53" s="2436" t="s">
        <v>957</v>
      </c>
      <c r="B53" s="2436"/>
      <c r="C53" s="2436"/>
      <c r="D53" s="2436"/>
      <c r="E53" s="2436"/>
      <c r="F53" s="2436"/>
      <c r="G53" s="2436"/>
      <c r="H53" s="2436"/>
      <c r="I53" s="2436"/>
      <c r="J53" s="2436"/>
      <c r="K53" s="2436"/>
      <c r="L53" s="2436"/>
      <c r="M53" s="2436"/>
      <c r="N53" s="2436"/>
      <c r="O53" s="2436"/>
      <c r="P53" s="2436"/>
      <c r="Q53" s="2436"/>
      <c r="R53" s="2436"/>
      <c r="S53" s="2436"/>
    </row>
  </sheetData>
  <mergeCells count="16">
    <mergeCell ref="A9:S9"/>
    <mergeCell ref="A2:S2"/>
    <mergeCell ref="A3:S3"/>
    <mergeCell ref="A4:S4"/>
    <mergeCell ref="A5:S5"/>
    <mergeCell ref="A8:S8"/>
    <mergeCell ref="A53:S53"/>
    <mergeCell ref="A49:S49"/>
    <mergeCell ref="A50:S50"/>
    <mergeCell ref="A51:S51"/>
    <mergeCell ref="A10:S10"/>
    <mergeCell ref="C12:E12"/>
    <mergeCell ref="G12:I12"/>
    <mergeCell ref="K12:M12"/>
    <mergeCell ref="O12:Q12"/>
    <mergeCell ref="A48:S48"/>
  </mergeCells>
  <pageMargins left="0.7" right="0.7" top="0.75" bottom="0.75" header="0.3" footer="0.3"/>
  <pageSetup scale="68" fitToHeight="0" orientation="landscape" r:id="rId1"/>
  <headerFooter>
    <oddHeader>&amp;RAEP - SPP Formula Rate
TCOS - WS T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7"/>
  <sheetViews>
    <sheetView topLeftCell="A2" zoomScale="85" zoomScaleNormal="85" zoomScaleSheetLayoutView="70" zoomScalePageLayoutView="80" workbookViewId="0">
      <selection activeCell="L34" sqref="L34"/>
    </sheetView>
  </sheetViews>
  <sheetFormatPr defaultColWidth="11.453125" defaultRowHeight="12.5"/>
  <cols>
    <col min="1" max="1" width="10.453125" style="731" customWidth="1"/>
    <col min="2" max="2" width="39.81640625" style="691" customWidth="1"/>
    <col min="3" max="3" width="21.1796875" style="691" customWidth="1"/>
    <col min="4" max="4" width="19.453125" style="691" customWidth="1"/>
    <col min="5" max="5" width="18.81640625" style="691" customWidth="1"/>
    <col min="6" max="6" width="18" style="691" customWidth="1"/>
    <col min="7" max="7" width="20.453125" style="691" customWidth="1"/>
    <col min="8" max="8" width="17.1796875" style="691" customWidth="1"/>
    <col min="9" max="9" width="16" style="691" customWidth="1"/>
    <col min="10" max="15" width="20.453125" style="691" customWidth="1"/>
    <col min="16" max="16" width="20" style="691" customWidth="1"/>
    <col min="17" max="18" width="15.1796875" style="691" customWidth="1"/>
    <col min="19" max="16384" width="11.453125" style="691"/>
  </cols>
  <sheetData>
    <row r="1" spans="1:16" ht="15.5">
      <c r="A1" s="690"/>
    </row>
    <row r="2" spans="1:16" ht="15.5">
      <c r="A2" s="2278" t="str">
        <f>'PSO TCOS'!F4</f>
        <v xml:space="preserve">AEP West SPP Member Operating Companies </v>
      </c>
      <c r="B2" s="2278"/>
      <c r="C2" s="2278"/>
      <c r="D2" s="2278"/>
      <c r="E2" s="2278"/>
      <c r="F2" s="2278"/>
      <c r="G2" s="2278"/>
      <c r="H2" s="2278"/>
      <c r="I2" s="114"/>
      <c r="J2" s="114"/>
      <c r="K2" s="114"/>
      <c r="L2" s="692"/>
      <c r="M2" s="692"/>
    </row>
    <row r="3" spans="1:16" ht="15.5">
      <c r="A3" s="2278" t="str">
        <f>"Actual / Projected "&amp;'PSO TCOS'!$N$2&amp;" Rate Year Cost of Service Formula Rate "</f>
        <v xml:space="preserve">Actual / Projected 2024 Rate Year Cost of Service Formula Rate </v>
      </c>
      <c r="B3" s="2278"/>
      <c r="C3" s="2278"/>
      <c r="D3" s="2278"/>
      <c r="E3" s="2278"/>
      <c r="F3" s="2278"/>
      <c r="G3" s="2278"/>
      <c r="H3" s="2278"/>
      <c r="I3" s="114"/>
      <c r="J3" s="114"/>
      <c r="K3" s="114"/>
      <c r="L3" s="692"/>
      <c r="M3" s="692"/>
      <c r="N3" s="692"/>
      <c r="P3" s="693"/>
    </row>
    <row r="4" spans="1:16" ht="15.5">
      <c r="A4" s="2279" t="s">
        <v>754</v>
      </c>
      <c r="B4" s="2279"/>
      <c r="C4" s="2279"/>
      <c r="D4" s="2279"/>
      <c r="E4" s="2279"/>
      <c r="F4" s="2279"/>
      <c r="G4" s="2279"/>
      <c r="H4" s="2279"/>
      <c r="I4" s="114"/>
      <c r="J4" s="114"/>
      <c r="K4" s="114"/>
      <c r="L4" s="692"/>
      <c r="M4" s="692"/>
      <c r="N4" s="692"/>
    </row>
    <row r="5" spans="1:16" ht="15.5">
      <c r="A5" s="2280" t="str">
        <f>+'PSO TCOS'!$F$8</f>
        <v>PUBLIC SERVICE COMPANY OF OKLAHOMA</v>
      </c>
      <c r="B5" s="2280"/>
      <c r="C5" s="2280"/>
      <c r="D5" s="2280"/>
      <c r="E5" s="2280"/>
      <c r="F5" s="2280"/>
      <c r="G5" s="2280"/>
      <c r="H5" s="2280"/>
      <c r="I5" s="694"/>
      <c r="J5" s="694"/>
      <c r="K5" s="694"/>
      <c r="L5" s="692"/>
      <c r="M5" s="692"/>
      <c r="N5" s="692"/>
    </row>
    <row r="6" spans="1:16" ht="13">
      <c r="A6" s="692"/>
      <c r="B6" s="695"/>
      <c r="C6" s="695"/>
      <c r="D6" s="695"/>
      <c r="E6" s="695"/>
      <c r="F6" s="695"/>
      <c r="G6" s="695"/>
      <c r="H6" s="695"/>
      <c r="I6" s="696"/>
      <c r="J6" s="697"/>
      <c r="L6" s="697"/>
      <c r="N6" s="697"/>
      <c r="P6" s="697"/>
    </row>
    <row r="7" spans="1:16" ht="12.75" customHeight="1">
      <c r="A7" s="692"/>
      <c r="B7" s="695"/>
      <c r="C7" s="2281" t="s">
        <v>747</v>
      </c>
      <c r="D7" s="2282"/>
      <c r="E7" s="2282"/>
      <c r="F7" s="2282"/>
      <c r="G7" s="2282"/>
      <c r="H7" s="2283"/>
      <c r="I7"/>
      <c r="J7"/>
      <c r="K7"/>
      <c r="L7"/>
      <c r="M7"/>
      <c r="N7"/>
      <c r="O7"/>
    </row>
    <row r="8" spans="1:16" s="703" customFormat="1" ht="25.5">
      <c r="A8" s="698" t="s">
        <v>722</v>
      </c>
      <c r="B8" s="699" t="s">
        <v>705</v>
      </c>
      <c r="C8" s="700" t="s">
        <v>723</v>
      </c>
      <c r="D8" s="701" t="s">
        <v>724</v>
      </c>
      <c r="E8" s="701" t="s">
        <v>255</v>
      </c>
      <c r="F8" s="701" t="s">
        <v>725</v>
      </c>
      <c r="G8" s="701" t="s">
        <v>726</v>
      </c>
      <c r="H8" s="702" t="s">
        <v>727</v>
      </c>
      <c r="I8"/>
      <c r="J8"/>
      <c r="K8"/>
      <c r="L8"/>
      <c r="M8"/>
      <c r="N8"/>
      <c r="O8"/>
      <c r="P8" s="691"/>
    </row>
    <row r="9" spans="1:16" s="707" customFormat="1" ht="13">
      <c r="A9" s="704"/>
      <c r="B9" s="705" t="s">
        <v>731</v>
      </c>
      <c r="C9" s="706" t="s">
        <v>732</v>
      </c>
      <c r="D9" s="697" t="s">
        <v>733</v>
      </c>
      <c r="E9" s="697" t="s">
        <v>734</v>
      </c>
      <c r="F9" s="697" t="s">
        <v>735</v>
      </c>
      <c r="G9" s="697" t="s">
        <v>736</v>
      </c>
      <c r="H9" s="705" t="s">
        <v>737</v>
      </c>
      <c r="I9"/>
      <c r="J9"/>
      <c r="K9"/>
      <c r="L9"/>
      <c r="M9"/>
      <c r="N9"/>
      <c r="O9"/>
      <c r="P9" s="691"/>
    </row>
    <row r="10" spans="1:16" s="707" customFormat="1" ht="44.25" customHeight="1">
      <c r="A10" s="704"/>
      <c r="B10" s="705"/>
      <c r="C10" s="1821" t="s">
        <v>63</v>
      </c>
      <c r="D10" s="708" t="s">
        <v>68</v>
      </c>
      <c r="E10" s="708" t="s">
        <v>64</v>
      </c>
      <c r="F10" s="708" t="s">
        <v>738</v>
      </c>
      <c r="G10" s="708" t="s">
        <v>65</v>
      </c>
      <c r="H10" s="709" t="s">
        <v>66</v>
      </c>
      <c r="I10"/>
      <c r="J10"/>
      <c r="K10"/>
      <c r="L10"/>
      <c r="M10"/>
      <c r="N10"/>
      <c r="O10"/>
      <c r="P10" s="691"/>
    </row>
    <row r="11" spans="1:16">
      <c r="A11" s="704">
        <v>1</v>
      </c>
      <c r="B11" s="710" t="s">
        <v>741</v>
      </c>
      <c r="C11" s="1799">
        <v>2694937847</v>
      </c>
      <c r="D11" s="1799">
        <v>50853882</v>
      </c>
      <c r="E11" s="1799">
        <v>1228403479</v>
      </c>
      <c r="F11" s="2242">
        <v>0</v>
      </c>
      <c r="G11" s="1799">
        <v>3450235672</v>
      </c>
      <c r="H11" s="2242">
        <v>0</v>
      </c>
      <c r="I11"/>
      <c r="J11" s="2079"/>
      <c r="K11"/>
      <c r="L11"/>
      <c r="M11"/>
      <c r="N11"/>
      <c r="O11"/>
    </row>
    <row r="12" spans="1:16">
      <c r="A12" s="704">
        <f>+A11+1</f>
        <v>2</v>
      </c>
      <c r="B12" s="710" t="s">
        <v>322</v>
      </c>
      <c r="C12" s="1799">
        <v>2697399412.7200003</v>
      </c>
      <c r="D12" s="1799">
        <v>50853881.5</v>
      </c>
      <c r="E12" s="1799">
        <v>1233176861.8000007</v>
      </c>
      <c r="F12" s="2242">
        <v>0</v>
      </c>
      <c r="G12" s="1799">
        <v>3465651583.2399988</v>
      </c>
      <c r="H12" s="2242">
        <v>0</v>
      </c>
      <c r="I12"/>
      <c r="J12" s="2079"/>
      <c r="K12"/>
      <c r="L12"/>
      <c r="M12"/>
      <c r="N12"/>
      <c r="O12"/>
    </row>
    <row r="13" spans="1:16">
      <c r="A13" s="704">
        <f t="shared" ref="A13:A24" si="0">+A12+1</f>
        <v>3</v>
      </c>
      <c r="B13" s="714" t="s">
        <v>515</v>
      </c>
      <c r="C13" s="1799">
        <v>2702239197.4200001</v>
      </c>
      <c r="D13" s="1799">
        <v>50853881.5</v>
      </c>
      <c r="E13" s="1799">
        <v>1238535473.77</v>
      </c>
      <c r="F13" s="2242">
        <v>0</v>
      </c>
      <c r="G13" s="1799">
        <v>3493604422.7100005</v>
      </c>
      <c r="H13" s="2242">
        <v>0</v>
      </c>
      <c r="I13"/>
      <c r="J13" s="2079"/>
      <c r="K13"/>
      <c r="L13"/>
      <c r="M13"/>
      <c r="N13"/>
      <c r="O13"/>
    </row>
    <row r="14" spans="1:16">
      <c r="A14" s="704">
        <f t="shared" si="0"/>
        <v>4</v>
      </c>
      <c r="B14" s="714" t="s">
        <v>742</v>
      </c>
      <c r="C14" s="1799">
        <v>2704255398.1600003</v>
      </c>
      <c r="D14" s="1799">
        <v>50853881.5</v>
      </c>
      <c r="E14" s="1799">
        <v>1239928943.2700002</v>
      </c>
      <c r="F14" s="2242">
        <v>0</v>
      </c>
      <c r="G14" s="1799">
        <v>3512499900.5699992</v>
      </c>
      <c r="H14" s="2242">
        <v>0</v>
      </c>
      <c r="I14"/>
      <c r="J14" s="2079"/>
      <c r="K14"/>
      <c r="L14"/>
      <c r="M14"/>
      <c r="N14"/>
      <c r="O14"/>
    </row>
    <row r="15" spans="1:16">
      <c r="A15" s="704">
        <f t="shared" si="0"/>
        <v>5</v>
      </c>
      <c r="B15" s="714" t="s">
        <v>324</v>
      </c>
      <c r="C15" s="1799">
        <v>2711037483.75</v>
      </c>
      <c r="D15" s="1799">
        <v>50853881.5</v>
      </c>
      <c r="E15" s="1799">
        <v>1248430162.9100003</v>
      </c>
      <c r="F15" s="2242">
        <v>0</v>
      </c>
      <c r="G15" s="1799">
        <v>3530545253.6700001</v>
      </c>
      <c r="H15" s="2242">
        <v>0</v>
      </c>
      <c r="I15"/>
      <c r="J15"/>
      <c r="K15"/>
      <c r="L15"/>
      <c r="M15"/>
      <c r="N15"/>
      <c r="O15"/>
    </row>
    <row r="16" spans="1:16">
      <c r="A16" s="704">
        <f t="shared" si="0"/>
        <v>6</v>
      </c>
      <c r="B16" s="714" t="s">
        <v>325</v>
      </c>
      <c r="C16" s="1799">
        <v>2711893210.5400004</v>
      </c>
      <c r="D16" s="1799">
        <v>50853881.5</v>
      </c>
      <c r="E16" s="1799">
        <v>1257551107.9499998</v>
      </c>
      <c r="F16" s="2242">
        <v>0</v>
      </c>
      <c r="G16" s="1799">
        <v>3548925948</v>
      </c>
      <c r="H16" s="2242">
        <v>0</v>
      </c>
      <c r="I16"/>
      <c r="J16" s="2080"/>
      <c r="K16"/>
      <c r="L16"/>
      <c r="M16"/>
      <c r="N16"/>
      <c r="O16"/>
    </row>
    <row r="17" spans="1:16">
      <c r="A17" s="704">
        <f t="shared" si="0"/>
        <v>7</v>
      </c>
      <c r="B17" s="714" t="s">
        <v>48</v>
      </c>
      <c r="C17" s="1799">
        <v>2746736068.1500001</v>
      </c>
      <c r="D17" s="1799">
        <v>84590915.539999992</v>
      </c>
      <c r="E17" s="1799">
        <v>1260302764.0000002</v>
      </c>
      <c r="F17" s="2242">
        <v>0</v>
      </c>
      <c r="G17" s="1799">
        <v>3567859593.3499994</v>
      </c>
      <c r="H17" s="2242">
        <v>0</v>
      </c>
      <c r="I17"/>
      <c r="J17"/>
      <c r="K17"/>
      <c r="L17"/>
      <c r="M17"/>
      <c r="N17"/>
      <c r="O17"/>
    </row>
    <row r="18" spans="1:16">
      <c r="A18" s="704">
        <f t="shared" si="0"/>
        <v>8</v>
      </c>
      <c r="B18" s="714" t="s">
        <v>326</v>
      </c>
      <c r="C18" s="1799">
        <v>2750085750.1800003</v>
      </c>
      <c r="D18" s="1799">
        <v>84590915.540000007</v>
      </c>
      <c r="E18" s="1799">
        <v>1263829460.0799999</v>
      </c>
      <c r="F18" s="2242">
        <v>0</v>
      </c>
      <c r="G18" s="1799">
        <v>3580559650.0199995</v>
      </c>
      <c r="H18" s="2242">
        <v>0</v>
      </c>
      <c r="I18"/>
      <c r="J18"/>
      <c r="K18"/>
      <c r="L18"/>
      <c r="M18"/>
      <c r="N18"/>
      <c r="O18"/>
    </row>
    <row r="19" spans="1:16">
      <c r="A19" s="704">
        <f t="shared" si="0"/>
        <v>9</v>
      </c>
      <c r="B19" s="714" t="s">
        <v>743</v>
      </c>
      <c r="C19" s="1799">
        <v>2756956588.2400007</v>
      </c>
      <c r="D19" s="1799">
        <v>84590915.540000007</v>
      </c>
      <c r="E19" s="1799">
        <v>1266561622.4000001</v>
      </c>
      <c r="F19" s="2242">
        <v>0</v>
      </c>
      <c r="G19" s="1799">
        <v>3596124479.6800008</v>
      </c>
      <c r="H19" s="2242">
        <v>0</v>
      </c>
      <c r="I19"/>
      <c r="J19"/>
      <c r="K19"/>
      <c r="L19"/>
      <c r="M19"/>
      <c r="N19"/>
      <c r="O19"/>
    </row>
    <row r="20" spans="1:16">
      <c r="A20" s="704">
        <f t="shared" si="0"/>
        <v>10</v>
      </c>
      <c r="B20" s="714" t="s">
        <v>329</v>
      </c>
      <c r="C20" s="1799">
        <v>2759628413.9800005</v>
      </c>
      <c r="D20" s="1799">
        <v>84590915.540000021</v>
      </c>
      <c r="E20" s="1799">
        <v>1272233470.2000008</v>
      </c>
      <c r="F20" s="2242">
        <v>0</v>
      </c>
      <c r="G20" s="1799">
        <v>3608719296.9100003</v>
      </c>
      <c r="H20" s="2242">
        <v>0</v>
      </c>
      <c r="I20"/>
      <c r="J20"/>
      <c r="K20"/>
      <c r="L20"/>
      <c r="M20"/>
      <c r="N20"/>
      <c r="O20"/>
    </row>
    <row r="21" spans="1:16">
      <c r="A21" s="704">
        <f t="shared" si="0"/>
        <v>11</v>
      </c>
      <c r="B21" s="714" t="s">
        <v>516</v>
      </c>
      <c r="C21" s="1799">
        <v>2762674573.0500002</v>
      </c>
      <c r="D21" s="1799">
        <v>84590915.540000007</v>
      </c>
      <c r="E21" s="1799">
        <v>1280022402.8300002</v>
      </c>
      <c r="F21" s="2242">
        <v>0</v>
      </c>
      <c r="G21" s="1799">
        <v>3631420087.1199985</v>
      </c>
      <c r="H21" s="2242">
        <v>0</v>
      </c>
      <c r="I21"/>
      <c r="J21"/>
      <c r="K21"/>
      <c r="L21"/>
      <c r="M21"/>
      <c r="N21"/>
      <c r="O21"/>
    </row>
    <row r="22" spans="1:16">
      <c r="A22" s="704">
        <f t="shared" si="0"/>
        <v>12</v>
      </c>
      <c r="B22" s="714" t="s">
        <v>517</v>
      </c>
      <c r="C22" s="1799">
        <v>2768373035.8100004</v>
      </c>
      <c r="D22" s="1799">
        <v>84590915.540000007</v>
      </c>
      <c r="E22" s="1799">
        <v>1306636195.8399997</v>
      </c>
      <c r="F22" s="2242">
        <v>0</v>
      </c>
      <c r="G22" s="1799">
        <v>3649546115.8599997</v>
      </c>
      <c r="H22" s="2242">
        <v>0</v>
      </c>
      <c r="I22"/>
      <c r="J22"/>
      <c r="K22"/>
      <c r="L22"/>
      <c r="M22"/>
      <c r="N22"/>
      <c r="O22"/>
    </row>
    <row r="23" spans="1:16">
      <c r="A23" s="715">
        <f t="shared" si="0"/>
        <v>13</v>
      </c>
      <c r="B23" s="716" t="s">
        <v>744</v>
      </c>
      <c r="C23" s="1799">
        <v>2771849644.23</v>
      </c>
      <c r="D23" s="1799">
        <v>84590915.540000007</v>
      </c>
      <c r="E23" s="1799">
        <v>1345242710.0799997</v>
      </c>
      <c r="F23" s="2242">
        <v>0</v>
      </c>
      <c r="G23" s="1799">
        <v>3698289070.6299992</v>
      </c>
      <c r="H23" s="2242">
        <v>0</v>
      </c>
      <c r="I23"/>
      <c r="J23"/>
      <c r="K23"/>
      <c r="L23"/>
      <c r="M23"/>
      <c r="N23"/>
      <c r="O23"/>
    </row>
    <row r="24" spans="1:16" ht="13" thickBot="1">
      <c r="A24" s="717">
        <f t="shared" si="0"/>
        <v>14</v>
      </c>
      <c r="B24" s="1748" t="s">
        <v>1226</v>
      </c>
      <c r="C24" s="718">
        <f t="shared" ref="C24:H24" si="1">AVERAGE(C11:C23)</f>
        <v>2733697432.5561543</v>
      </c>
      <c r="D24" s="718">
        <f t="shared" si="1"/>
        <v>69019976.790769234</v>
      </c>
      <c r="E24" s="718">
        <f t="shared" si="1"/>
        <v>1264681127.2407694</v>
      </c>
      <c r="F24" s="2104">
        <f t="shared" si="1"/>
        <v>0</v>
      </c>
      <c r="G24" s="718">
        <f t="shared" si="1"/>
        <v>3564152390.2892303</v>
      </c>
      <c r="H24" s="2104">
        <f t="shared" si="1"/>
        <v>0</v>
      </c>
      <c r="I24"/>
      <c r="J24"/>
      <c r="K24"/>
      <c r="L24"/>
      <c r="M24"/>
      <c r="N24"/>
      <c r="O24"/>
    </row>
    <row r="25" spans="1:16" ht="13" thickTop="1">
      <c r="A25" s="692"/>
      <c r="B25" s="719" t="s">
        <v>1275</v>
      </c>
      <c r="C25" s="720"/>
      <c r="D25" s="720"/>
      <c r="E25" s="720"/>
      <c r="F25" s="720"/>
      <c r="G25" s="720"/>
      <c r="H25" s="720"/>
      <c r="I25"/>
      <c r="J25"/>
      <c r="K25"/>
      <c r="L25"/>
      <c r="M25"/>
      <c r="N25"/>
      <c r="O25"/>
    </row>
    <row r="26" spans="1:16" ht="14.25" customHeight="1">
      <c r="A26" s="692"/>
      <c r="B26" s="719"/>
      <c r="C26" s="720"/>
      <c r="D26" s="720"/>
      <c r="E26" s="720"/>
      <c r="F26" s="721"/>
      <c r="G26" s="721"/>
      <c r="H26" s="721"/>
      <c r="I26"/>
      <c r="J26"/>
      <c r="K26"/>
      <c r="L26"/>
      <c r="M26"/>
      <c r="N26"/>
      <c r="O26"/>
    </row>
    <row r="27" spans="1:16" ht="12.75" customHeight="1">
      <c r="A27" s="692"/>
      <c r="B27" s="695"/>
      <c r="C27" s="2281" t="s">
        <v>748</v>
      </c>
      <c r="D27" s="2282"/>
      <c r="E27" s="2282"/>
      <c r="F27" s="2282"/>
      <c r="G27" s="2282"/>
      <c r="H27"/>
      <c r="I27"/>
      <c r="J27"/>
      <c r="K27"/>
      <c r="L27"/>
      <c r="M27"/>
      <c r="N27"/>
      <c r="O27"/>
    </row>
    <row r="28" spans="1:16" s="703" customFormat="1" ht="26">
      <c r="A28" s="698" t="s">
        <v>722</v>
      </c>
      <c r="B28" s="699" t="s">
        <v>705</v>
      </c>
      <c r="C28" s="701" t="s">
        <v>728</v>
      </c>
      <c r="D28" s="701" t="s">
        <v>729</v>
      </c>
      <c r="E28" s="701" t="s">
        <v>730</v>
      </c>
      <c r="F28" s="701" t="s">
        <v>751</v>
      </c>
      <c r="G28" s="702" t="s">
        <v>752</v>
      </c>
      <c r="J28"/>
      <c r="K28"/>
      <c r="L28"/>
      <c r="M28"/>
      <c r="N28"/>
      <c r="O28"/>
      <c r="P28" s="691"/>
    </row>
    <row r="29" spans="1:16" s="707" customFormat="1" ht="13">
      <c r="A29" s="704"/>
      <c r="B29" s="705" t="s">
        <v>731</v>
      </c>
      <c r="C29" s="697" t="s">
        <v>732</v>
      </c>
      <c r="D29" s="697" t="s">
        <v>733</v>
      </c>
      <c r="E29" s="697" t="s">
        <v>734</v>
      </c>
      <c r="F29" s="697" t="s">
        <v>735</v>
      </c>
      <c r="G29" s="697" t="s">
        <v>736</v>
      </c>
      <c r="J29"/>
      <c r="K29"/>
      <c r="L29"/>
      <c r="M29"/>
      <c r="N29"/>
      <c r="O29"/>
      <c r="P29" s="691"/>
    </row>
    <row r="30" spans="1:16" s="707" customFormat="1" ht="52.5" customHeight="1">
      <c r="A30" s="704"/>
      <c r="B30" s="705"/>
      <c r="C30" s="708" t="s">
        <v>739</v>
      </c>
      <c r="D30" s="708" t="s">
        <v>740</v>
      </c>
      <c r="E30" s="708" t="s">
        <v>67</v>
      </c>
      <c r="F30" s="708" t="s">
        <v>678</v>
      </c>
      <c r="G30" s="709" t="s">
        <v>678</v>
      </c>
      <c r="J30"/>
      <c r="K30"/>
      <c r="L30"/>
      <c r="M30"/>
      <c r="N30"/>
      <c r="O30"/>
      <c r="P30" s="691"/>
    </row>
    <row r="31" spans="1:16">
      <c r="A31" s="704">
        <f>+A24+1</f>
        <v>15</v>
      </c>
      <c r="B31" s="710" t="s">
        <v>741</v>
      </c>
      <c r="C31" s="711">
        <v>268244530</v>
      </c>
      <c r="D31" s="711">
        <v>552074</v>
      </c>
      <c r="E31" s="711">
        <v>212212625</v>
      </c>
      <c r="F31" s="711">
        <v>29275662</v>
      </c>
      <c r="G31" s="713">
        <v>215335659.56</v>
      </c>
      <c r="J31"/>
      <c r="K31"/>
      <c r="L31"/>
      <c r="M31"/>
      <c r="N31"/>
      <c r="O31"/>
    </row>
    <row r="32" spans="1:16">
      <c r="A32" s="704">
        <f>+A31+1</f>
        <v>16</v>
      </c>
      <c r="B32" s="710" t="s">
        <v>322</v>
      </c>
      <c r="C32" s="711">
        <v>271446347.95999992</v>
      </c>
      <c r="D32" s="711">
        <v>552073.70000000007</v>
      </c>
      <c r="E32" s="711">
        <v>213901146.93000004</v>
      </c>
      <c r="F32" s="711">
        <v>29275661.5</v>
      </c>
      <c r="G32" s="713">
        <v>217987630.60999995</v>
      </c>
      <c r="J32"/>
      <c r="K32"/>
      <c r="L32"/>
      <c r="M32"/>
      <c r="N32"/>
      <c r="O32"/>
    </row>
    <row r="33" spans="1:15">
      <c r="A33" s="704">
        <f t="shared" ref="A33:A44" si="2">+A32+1</f>
        <v>17</v>
      </c>
      <c r="B33" s="714" t="s">
        <v>515</v>
      </c>
      <c r="C33" s="711">
        <v>274474014.04000008</v>
      </c>
      <c r="D33" s="711">
        <v>552073.70000000007</v>
      </c>
      <c r="E33" s="711">
        <v>214890297.29999998</v>
      </c>
      <c r="F33" s="711">
        <v>29275661.5</v>
      </c>
      <c r="G33" s="713">
        <v>218117827.74999997</v>
      </c>
      <c r="J33"/>
      <c r="K33"/>
      <c r="L33"/>
      <c r="M33"/>
      <c r="N33"/>
      <c r="O33"/>
    </row>
    <row r="34" spans="1:15">
      <c r="A34" s="704">
        <f t="shared" si="2"/>
        <v>18</v>
      </c>
      <c r="B34" s="714" t="s">
        <v>742</v>
      </c>
      <c r="C34" s="711">
        <v>276682862.27999997</v>
      </c>
      <c r="D34" s="711">
        <v>552073.70000000007</v>
      </c>
      <c r="E34" s="711">
        <v>214613689.00000003</v>
      </c>
      <c r="F34" s="711">
        <v>29275661.469999999</v>
      </c>
      <c r="G34" s="713">
        <v>218898510.13000003</v>
      </c>
      <c r="J34"/>
      <c r="K34"/>
      <c r="L34"/>
      <c r="M34"/>
      <c r="N34"/>
      <c r="O34"/>
    </row>
    <row r="35" spans="1:15">
      <c r="A35" s="704">
        <f t="shared" si="2"/>
        <v>19</v>
      </c>
      <c r="B35" s="714" t="s">
        <v>324</v>
      </c>
      <c r="C35" s="711">
        <v>279281294.42999995</v>
      </c>
      <c r="D35" s="711">
        <v>552073.70000000007</v>
      </c>
      <c r="E35" s="711">
        <v>215392676.94000003</v>
      </c>
      <c r="F35" s="711">
        <v>29275661.469999999</v>
      </c>
      <c r="G35" s="713">
        <v>219178910.76999989</v>
      </c>
      <c r="J35"/>
      <c r="K35"/>
      <c r="L35"/>
      <c r="M35"/>
      <c r="N35"/>
      <c r="O35"/>
    </row>
    <row r="36" spans="1:15">
      <c r="A36" s="704">
        <f t="shared" si="2"/>
        <v>20</v>
      </c>
      <c r="B36" s="714" t="s">
        <v>325</v>
      </c>
      <c r="C36" s="711">
        <v>281165321.07999998</v>
      </c>
      <c r="D36" s="711">
        <v>552073.70000000007</v>
      </c>
      <c r="E36" s="711">
        <v>216550113.49000004</v>
      </c>
      <c r="F36" s="711">
        <v>29275661.469999999</v>
      </c>
      <c r="G36" s="713">
        <v>219991456.60000005</v>
      </c>
      <c r="J36"/>
      <c r="K36"/>
      <c r="L36"/>
      <c r="M36"/>
      <c r="N36"/>
      <c r="O36"/>
    </row>
    <row r="37" spans="1:15">
      <c r="A37" s="704">
        <f t="shared" si="2"/>
        <v>21</v>
      </c>
      <c r="B37" s="714" t="s">
        <v>48</v>
      </c>
      <c r="C37" s="711">
        <v>282269920.34999996</v>
      </c>
      <c r="D37" s="711">
        <v>552073.70000000007</v>
      </c>
      <c r="E37" s="711">
        <v>212866438.73000005</v>
      </c>
      <c r="F37" s="711">
        <v>29275661.469999999</v>
      </c>
      <c r="G37" s="713">
        <v>220165424.41999999</v>
      </c>
      <c r="J37"/>
      <c r="K37"/>
      <c r="L37"/>
      <c r="M37"/>
      <c r="N37"/>
      <c r="O37"/>
    </row>
    <row r="38" spans="1:15">
      <c r="A38" s="704">
        <f t="shared" si="2"/>
        <v>22</v>
      </c>
      <c r="B38" s="714" t="s">
        <v>326</v>
      </c>
      <c r="C38" s="711">
        <v>284682698.68000007</v>
      </c>
      <c r="D38" s="711">
        <v>552073.70000000007</v>
      </c>
      <c r="E38" s="711">
        <v>213967313.83000001</v>
      </c>
      <c r="F38" s="711">
        <v>29275661.469999999</v>
      </c>
      <c r="G38" s="713">
        <v>220740378.11999997</v>
      </c>
      <c r="J38"/>
      <c r="K38"/>
      <c r="L38"/>
      <c r="M38"/>
      <c r="N38"/>
      <c r="O38"/>
    </row>
    <row r="39" spans="1:15">
      <c r="A39" s="704">
        <f t="shared" si="2"/>
        <v>23</v>
      </c>
      <c r="B39" s="714" t="s">
        <v>743</v>
      </c>
      <c r="C39" s="711">
        <v>285723675.56999999</v>
      </c>
      <c r="D39" s="711">
        <v>552073.70000000007</v>
      </c>
      <c r="E39" s="711">
        <v>214537590.88000003</v>
      </c>
      <c r="F39" s="711">
        <v>29296584.91</v>
      </c>
      <c r="G39" s="713">
        <v>220680269.60000005</v>
      </c>
      <c r="J39"/>
      <c r="K39"/>
      <c r="L39"/>
      <c r="M39"/>
      <c r="N39"/>
      <c r="O39"/>
    </row>
    <row r="40" spans="1:15">
      <c r="A40" s="704">
        <f t="shared" si="2"/>
        <v>24</v>
      </c>
      <c r="B40" s="714" t="s">
        <v>329</v>
      </c>
      <c r="C40" s="711">
        <v>287731797.70000005</v>
      </c>
      <c r="D40" s="711">
        <v>552073.70000000007</v>
      </c>
      <c r="E40" s="711">
        <v>215469899.39000002</v>
      </c>
      <c r="F40" s="711">
        <v>29296584.91</v>
      </c>
      <c r="G40" s="713">
        <v>220703553.86999997</v>
      </c>
      <c r="J40"/>
      <c r="K40"/>
      <c r="L40"/>
      <c r="M40"/>
      <c r="N40"/>
      <c r="O40"/>
    </row>
    <row r="41" spans="1:15">
      <c r="A41" s="704">
        <f t="shared" si="2"/>
        <v>25</v>
      </c>
      <c r="B41" s="714" t="s">
        <v>516</v>
      </c>
      <c r="C41" s="711">
        <v>288471219.95999998</v>
      </c>
      <c r="D41" s="711">
        <v>552073.70000000007</v>
      </c>
      <c r="E41" s="711">
        <v>216671089.64000002</v>
      </c>
      <c r="F41" s="711">
        <v>29296584.91</v>
      </c>
      <c r="G41" s="713">
        <v>220950893.08999991</v>
      </c>
      <c r="J41"/>
      <c r="K41"/>
      <c r="L41"/>
      <c r="M41"/>
      <c r="N41"/>
      <c r="O41"/>
    </row>
    <row r="42" spans="1:15">
      <c r="A42" s="704">
        <f t="shared" si="2"/>
        <v>26</v>
      </c>
      <c r="B42" s="714" t="s">
        <v>517</v>
      </c>
      <c r="C42" s="711">
        <v>292424442.45000005</v>
      </c>
      <c r="D42" s="711">
        <v>552073.70000000007</v>
      </c>
      <c r="E42" s="711">
        <v>218524953.20999998</v>
      </c>
      <c r="F42" s="711">
        <v>29296584.91</v>
      </c>
      <c r="G42" s="713">
        <v>235803565.48999998</v>
      </c>
      <c r="J42"/>
      <c r="K42"/>
      <c r="L42"/>
      <c r="M42"/>
      <c r="N42"/>
      <c r="O42"/>
    </row>
    <row r="43" spans="1:15">
      <c r="A43" s="715">
        <f t="shared" si="2"/>
        <v>27</v>
      </c>
      <c r="B43" s="716" t="s">
        <v>744</v>
      </c>
      <c r="C43" s="711">
        <v>305594201.78000015</v>
      </c>
      <c r="D43" s="711">
        <v>552073.70000000007</v>
      </c>
      <c r="E43" s="711">
        <v>223583715.56000003</v>
      </c>
      <c r="F43" s="711">
        <v>29296584.91</v>
      </c>
      <c r="G43" s="713">
        <v>251411481.14999995</v>
      </c>
      <c r="J43"/>
      <c r="K43"/>
      <c r="L43"/>
      <c r="M43"/>
      <c r="N43"/>
      <c r="O43"/>
    </row>
    <row r="44" spans="1:15" ht="13" thickBot="1">
      <c r="A44" s="717">
        <f t="shared" si="2"/>
        <v>28</v>
      </c>
      <c r="B44" s="1748" t="s">
        <v>1226</v>
      </c>
      <c r="C44" s="718">
        <f>AVERAGE(C31:C43)</f>
        <v>282937871.25230771</v>
      </c>
      <c r="D44" s="718">
        <f>AVERAGE(D31:D43)</f>
        <v>552073.72307692328</v>
      </c>
      <c r="E44" s="718">
        <f>AVERAGE(E31:E43)</f>
        <v>215629349.99230769</v>
      </c>
      <c r="F44" s="718">
        <f>AVERAGE(F31:F43)</f>
        <v>29283708.9923077</v>
      </c>
      <c r="G44" s="718">
        <f>AVERAGE(G31:G43)</f>
        <v>223074273.93538463</v>
      </c>
      <c r="J44"/>
      <c r="K44"/>
      <c r="L44"/>
      <c r="M44"/>
      <c r="N44"/>
      <c r="O44"/>
    </row>
    <row r="45" spans="1:15" ht="13" thickTop="1">
      <c r="A45" s="692"/>
      <c r="B45" s="719"/>
      <c r="C45" s="720"/>
      <c r="D45" s="720"/>
      <c r="E45" s="720"/>
      <c r="F45" s="721"/>
      <c r="G45" s="721"/>
      <c r="H45"/>
      <c r="I45"/>
      <c r="J45"/>
      <c r="K45"/>
      <c r="L45"/>
      <c r="M45"/>
      <c r="N45"/>
      <c r="O45"/>
    </row>
    <row r="46" spans="1:15">
      <c r="A46" s="692"/>
      <c r="C46" s="720"/>
      <c r="D46" s="720"/>
      <c r="E46" s="720"/>
      <c r="F46" s="721"/>
      <c r="G46" s="721"/>
      <c r="H46" s="721"/>
      <c r="I46" s="721"/>
      <c r="J46" s="721"/>
      <c r="K46" s="720"/>
      <c r="L46" s="720"/>
      <c r="M46" s="720"/>
      <c r="N46" s="722"/>
      <c r="O46" s="722"/>
    </row>
    <row r="47" spans="1:15" ht="13">
      <c r="A47" s="692"/>
      <c r="B47" s="723" t="s">
        <v>770</v>
      </c>
      <c r="C47" s="720"/>
      <c r="D47" s="720"/>
      <c r="E47" s="720"/>
      <c r="F47" s="721"/>
      <c r="G47" s="721"/>
      <c r="H47" s="721"/>
      <c r="I47" s="721"/>
      <c r="J47" s="721"/>
      <c r="K47" s="720"/>
      <c r="L47" s="720"/>
      <c r="M47" s="720"/>
      <c r="N47" s="722"/>
      <c r="O47" s="722"/>
    </row>
    <row r="48" spans="1:15" ht="26">
      <c r="A48" s="724" t="s">
        <v>722</v>
      </c>
      <c r="B48" s="725" t="s">
        <v>756</v>
      </c>
      <c r="C48" s="2276" t="s">
        <v>757</v>
      </c>
      <c r="D48" s="2276"/>
      <c r="E48" s="2276"/>
      <c r="F48" s="726" t="s">
        <v>758</v>
      </c>
      <c r="G48" s="726" t="str">
        <f>'PSO TCOS'!N2&amp;" Rate Year Beginning balance"</f>
        <v>2024 Rate Year Beginning balance</v>
      </c>
      <c r="H48" s="726" t="str">
        <f>'PSO TCOS'!N2&amp;" Rate Year Ending balance"</f>
        <v>2024 Rate Year Ending balance</v>
      </c>
      <c r="I48" s="701" t="str">
        <f>'PSO TCOS'!N2&amp;" Rate Year Average"</f>
        <v>2024 Rate Year Average</v>
      </c>
      <c r="J48" s="721"/>
      <c r="K48" s="720"/>
      <c r="L48" s="720"/>
      <c r="M48" s="720"/>
      <c r="N48" s="722"/>
      <c r="O48" s="722"/>
    </row>
    <row r="49" spans="1:15" ht="13">
      <c r="A49" s="692"/>
      <c r="B49" s="697" t="s">
        <v>731</v>
      </c>
      <c r="C49" s="2277" t="s">
        <v>732</v>
      </c>
      <c r="D49" s="2277"/>
      <c r="E49" s="2277"/>
      <c r="F49" s="697" t="s">
        <v>733</v>
      </c>
      <c r="G49" s="697" t="s">
        <v>734</v>
      </c>
      <c r="H49" s="697" t="s">
        <v>735</v>
      </c>
      <c r="I49" s="727" t="s">
        <v>736</v>
      </c>
      <c r="J49" s="721"/>
      <c r="K49" s="720"/>
      <c r="L49" s="720"/>
      <c r="M49" s="720"/>
      <c r="N49" s="722"/>
      <c r="O49" s="722"/>
    </row>
    <row r="50" spans="1:15">
      <c r="A50" s="692" t="str">
        <f>+A$44+1&amp;"A"</f>
        <v>29A</v>
      </c>
      <c r="B50" s="711" t="s">
        <v>1271</v>
      </c>
      <c r="C50" s="711"/>
      <c r="D50" s="711"/>
      <c r="E50" s="711"/>
      <c r="F50" s="728"/>
      <c r="G50" s="711">
        <v>519732.52</v>
      </c>
      <c r="H50" s="711">
        <v>519732.52</v>
      </c>
      <c r="I50" s="711">
        <f>(G50+H50)/2</f>
        <v>519732.52</v>
      </c>
      <c r="J50"/>
    </row>
    <row r="51" spans="1:15">
      <c r="A51" s="692" t="str">
        <f>+A$44+1&amp;"B"</f>
        <v>29B</v>
      </c>
      <c r="B51" s="711" t="s">
        <v>1018</v>
      </c>
      <c r="C51" s="711"/>
      <c r="D51" s="711"/>
      <c r="E51" s="711"/>
      <c r="F51" s="728"/>
      <c r="G51" s="779">
        <v>0</v>
      </c>
      <c r="H51" s="779">
        <v>0</v>
      </c>
      <c r="I51" s="779">
        <f t="shared" ref="I51:I52" si="3">(G51+H51)/2</f>
        <v>0</v>
      </c>
    </row>
    <row r="52" spans="1:15">
      <c r="A52" s="692" t="str">
        <f>+A$44+1&amp;"C"</f>
        <v>29C</v>
      </c>
      <c r="B52" s="711"/>
      <c r="C52" s="711"/>
      <c r="D52" s="711"/>
      <c r="E52" s="711"/>
      <c r="F52" s="711"/>
      <c r="G52" s="779"/>
      <c r="H52" s="779"/>
      <c r="I52" s="779">
        <f t="shared" si="3"/>
        <v>0</v>
      </c>
    </row>
    <row r="53" spans="1:15" ht="13" thickBot="1">
      <c r="A53" s="692">
        <f>+A44+2</f>
        <v>30</v>
      </c>
      <c r="B53" s="729" t="s">
        <v>761</v>
      </c>
      <c r="C53" s="729"/>
      <c r="D53" s="729"/>
      <c r="E53" s="729"/>
      <c r="F53" s="729"/>
      <c r="G53" s="730">
        <f>+SUM(G50:G52)</f>
        <v>519732.52</v>
      </c>
      <c r="H53" s="730">
        <f>+SUM(H50:H52)</f>
        <v>519732.52</v>
      </c>
      <c r="I53" s="730">
        <f>+SUM(I50:I52)</f>
        <v>519732.52</v>
      </c>
    </row>
    <row r="54" spans="1:15" ht="13" thickTop="1"/>
    <row r="55" spans="1:15">
      <c r="A55" s="732" t="s">
        <v>769</v>
      </c>
    </row>
    <row r="56" spans="1:15">
      <c r="A56" s="692" t="s">
        <v>301</v>
      </c>
      <c r="B56" s="691" t="s">
        <v>772</v>
      </c>
    </row>
    <row r="57" spans="1:15">
      <c r="A57" s="692" t="s">
        <v>302</v>
      </c>
      <c r="B57" s="691" t="s">
        <v>771</v>
      </c>
    </row>
  </sheetData>
  <mergeCells count="8">
    <mergeCell ref="C48:E48"/>
    <mergeCell ref="C49:E49"/>
    <mergeCell ref="A2:H2"/>
    <mergeCell ref="A3:H3"/>
    <mergeCell ref="A4:H4"/>
    <mergeCell ref="A5:H5"/>
    <mergeCell ref="C7:H7"/>
    <mergeCell ref="C27:G27"/>
  </mergeCells>
  <pageMargins left="0.7" right="0.7" top="0.75" bottom="0.75" header="0.3" footer="0.3"/>
  <pageSetup scale="10" orientation="portrait" cellComments="asDisplayed" r:id="rId1"/>
  <headerFooter>
    <oddHeader>&amp;RAEP - SPP Formula Rate
TCOS - WS A-1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2"/>
  <sheetViews>
    <sheetView topLeftCell="A28" zoomScaleNormal="100" zoomScaleSheetLayoutView="70" zoomScalePageLayoutView="80" workbookViewId="0">
      <selection activeCell="I22" sqref="I22"/>
    </sheetView>
  </sheetViews>
  <sheetFormatPr defaultColWidth="11.453125" defaultRowHeight="12.5"/>
  <cols>
    <col min="1" max="1" width="10.453125" style="731" customWidth="1"/>
    <col min="2" max="2" width="39.81640625" style="691" customWidth="1"/>
    <col min="3" max="3" width="21.1796875" style="691" customWidth="1"/>
    <col min="4" max="4" width="19.453125" style="691" customWidth="1"/>
    <col min="5" max="5" width="18.81640625" style="691" customWidth="1"/>
    <col min="6" max="6" width="18" style="691" customWidth="1"/>
    <col min="7" max="7" width="16.54296875" style="691" customWidth="1"/>
    <col min="8" max="8" width="17.1796875" style="691" customWidth="1"/>
    <col min="9" max="9" width="15.453125" style="691" customWidth="1"/>
    <col min="10" max="15" width="20.453125" style="691" customWidth="1"/>
    <col min="16" max="16" width="20" style="691" customWidth="1"/>
    <col min="17" max="18" width="15.1796875" style="691" customWidth="1"/>
    <col min="19" max="16384" width="11.453125" style="691"/>
  </cols>
  <sheetData>
    <row r="1" spans="1:16" ht="15.5">
      <c r="A1" s="690"/>
    </row>
    <row r="2" spans="1:16" ht="15.5">
      <c r="A2" s="2278" t="str">
        <f>'PSO TCOS'!F4</f>
        <v xml:space="preserve">AEP West SPP Member Operating Companies </v>
      </c>
      <c r="B2" s="2278"/>
      <c r="C2" s="2278"/>
      <c r="D2" s="2278"/>
      <c r="E2" s="2278"/>
      <c r="F2" s="2278"/>
      <c r="G2" s="2278"/>
      <c r="H2" s="2278"/>
      <c r="I2" s="114"/>
      <c r="J2" s="114"/>
      <c r="K2" s="114"/>
      <c r="L2" s="692"/>
      <c r="M2" s="692"/>
    </row>
    <row r="3" spans="1:16" ht="15.5">
      <c r="A3" s="2278" t="str">
        <f>"Actual / Projected "&amp;'PSO TCOS'!$N$2&amp;" Rate Year Cost of Service Formula Rate "</f>
        <v xml:space="preserve">Actual / Projected 2024 Rate Year Cost of Service Formula Rate </v>
      </c>
      <c r="B3" s="2278"/>
      <c r="C3" s="2278"/>
      <c r="D3" s="2278"/>
      <c r="E3" s="2278"/>
      <c r="F3" s="2278"/>
      <c r="G3" s="2278"/>
      <c r="H3" s="2278"/>
      <c r="I3" s="114"/>
      <c r="J3" s="114"/>
      <c r="K3" s="114"/>
      <c r="L3" s="692"/>
      <c r="M3" s="692"/>
      <c r="N3" s="692"/>
      <c r="P3" s="693"/>
    </row>
    <row r="4" spans="1:16" ht="15.5">
      <c r="A4" s="2279" t="s">
        <v>753</v>
      </c>
      <c r="B4" s="2279"/>
      <c r="C4" s="2279"/>
      <c r="D4" s="2279"/>
      <c r="E4" s="2279"/>
      <c r="F4" s="2279"/>
      <c r="G4" s="2279"/>
      <c r="H4" s="2279"/>
      <c r="I4" s="114"/>
      <c r="J4" s="114"/>
      <c r="K4" s="114"/>
      <c r="L4" s="692"/>
      <c r="M4" s="692"/>
      <c r="N4" s="692"/>
    </row>
    <row r="5" spans="1:16" ht="15.5">
      <c r="A5" s="2280" t="str">
        <f>+'PSO TCOS'!$F$8</f>
        <v>PUBLIC SERVICE COMPANY OF OKLAHOMA</v>
      </c>
      <c r="B5" s="2280"/>
      <c r="C5" s="2280"/>
      <c r="D5" s="2280"/>
      <c r="E5" s="2280"/>
      <c r="F5" s="2280"/>
      <c r="G5" s="2280"/>
      <c r="H5" s="2280"/>
      <c r="I5" s="694"/>
      <c r="J5" s="694"/>
      <c r="K5" s="694"/>
      <c r="L5" s="692"/>
      <c r="M5" s="692"/>
      <c r="N5" s="692"/>
    </row>
    <row r="6" spans="1:16" ht="13">
      <c r="A6" s="692"/>
      <c r="B6" s="695"/>
      <c r="C6" s="695"/>
      <c r="D6" s="695"/>
      <c r="E6" s="695"/>
      <c r="F6" s="695"/>
      <c r="G6" s="695"/>
      <c r="H6" s="695"/>
      <c r="I6" s="696"/>
      <c r="J6" s="697"/>
      <c r="L6" s="697"/>
      <c r="N6" s="697"/>
      <c r="P6" s="697"/>
    </row>
    <row r="7" spans="1:16" ht="12.75" customHeight="1">
      <c r="A7" s="692"/>
      <c r="B7" s="695"/>
      <c r="C7" s="2281" t="s">
        <v>750</v>
      </c>
      <c r="D7" s="2282"/>
      <c r="E7" s="2282"/>
      <c r="F7" s="2282"/>
      <c r="G7" s="2282"/>
      <c r="H7" s="2283"/>
      <c r="I7"/>
      <c r="J7"/>
      <c r="K7"/>
      <c r="L7"/>
      <c r="M7"/>
      <c r="N7"/>
      <c r="O7"/>
    </row>
    <row r="8" spans="1:16" s="703" customFormat="1" ht="56.25" customHeight="1">
      <c r="A8" s="698" t="s">
        <v>722</v>
      </c>
      <c r="B8" s="699" t="s">
        <v>705</v>
      </c>
      <c r="C8" s="701" t="s">
        <v>723</v>
      </c>
      <c r="D8" s="701" t="s">
        <v>724</v>
      </c>
      <c r="E8" s="701" t="s">
        <v>255</v>
      </c>
      <c r="F8" s="701" t="s">
        <v>725</v>
      </c>
      <c r="G8" s="701" t="s">
        <v>726</v>
      </c>
      <c r="H8" s="701" t="s">
        <v>727</v>
      </c>
      <c r="I8"/>
      <c r="J8"/>
      <c r="K8"/>
      <c r="L8"/>
      <c r="M8"/>
      <c r="N8"/>
      <c r="O8"/>
      <c r="P8" s="691"/>
    </row>
    <row r="9" spans="1:16" s="707" customFormat="1" ht="13">
      <c r="A9" s="704"/>
      <c r="B9" s="705" t="s">
        <v>731</v>
      </c>
      <c r="C9" s="697" t="s">
        <v>732</v>
      </c>
      <c r="D9" s="697" t="s">
        <v>733</v>
      </c>
      <c r="E9" s="697" t="s">
        <v>734</v>
      </c>
      <c r="F9" s="697" t="s">
        <v>735</v>
      </c>
      <c r="G9" s="697" t="s">
        <v>736</v>
      </c>
      <c r="H9" s="697" t="s">
        <v>737</v>
      </c>
      <c r="I9"/>
      <c r="J9"/>
      <c r="K9"/>
      <c r="L9"/>
      <c r="M9"/>
      <c r="N9"/>
      <c r="O9"/>
      <c r="P9" s="691"/>
    </row>
    <row r="10" spans="1:16" s="707" customFormat="1" ht="44.25" customHeight="1">
      <c r="A10" s="704"/>
      <c r="B10" s="705"/>
      <c r="C10" s="708" t="s">
        <v>21</v>
      </c>
      <c r="D10" s="708" t="s">
        <v>745</v>
      </c>
      <c r="E10" s="708" t="s">
        <v>22</v>
      </c>
      <c r="F10" s="708" t="s">
        <v>745</v>
      </c>
      <c r="G10" s="708" t="s">
        <v>181</v>
      </c>
      <c r="H10" s="708" t="s">
        <v>745</v>
      </c>
      <c r="I10"/>
      <c r="J10"/>
      <c r="K10"/>
      <c r="L10"/>
      <c r="M10"/>
      <c r="N10"/>
      <c r="O10"/>
      <c r="P10" s="691"/>
    </row>
    <row r="11" spans="1:16">
      <c r="A11" s="704">
        <v>1</v>
      </c>
      <c r="B11" s="710" t="s">
        <v>741</v>
      </c>
      <c r="C11" s="711">
        <v>1018052809.2799999</v>
      </c>
      <c r="D11" s="711">
        <v>13422942</v>
      </c>
      <c r="E11" s="711">
        <v>239157912.48000005</v>
      </c>
      <c r="F11" s="779">
        <v>0</v>
      </c>
      <c r="G11" s="711">
        <v>808966823</v>
      </c>
      <c r="H11" s="779">
        <v>0</v>
      </c>
      <c r="I11"/>
      <c r="J11"/>
      <c r="K11"/>
      <c r="L11"/>
      <c r="M11"/>
      <c r="N11"/>
      <c r="O11"/>
    </row>
    <row r="12" spans="1:16">
      <c r="A12" s="704">
        <f>+A11+1</f>
        <v>2</v>
      </c>
      <c r="B12" s="710" t="s">
        <v>322</v>
      </c>
      <c r="C12" s="711">
        <v>1020235495.5600002</v>
      </c>
      <c r="D12" s="711">
        <v>13552505.180000002</v>
      </c>
      <c r="E12" s="711">
        <v>241422670.28999999</v>
      </c>
      <c r="F12" s="779">
        <v>0</v>
      </c>
      <c r="G12" s="711">
        <v>812195893.23999989</v>
      </c>
      <c r="H12" s="779">
        <v>0</v>
      </c>
      <c r="I12"/>
      <c r="J12"/>
      <c r="K12"/>
      <c r="L12"/>
      <c r="M12"/>
      <c r="N12"/>
      <c r="O12"/>
    </row>
    <row r="13" spans="1:16">
      <c r="A13" s="704">
        <f t="shared" ref="A13:A24" si="0">+A12+1</f>
        <v>3</v>
      </c>
      <c r="B13" s="714" t="s">
        <v>515</v>
      </c>
      <c r="C13" s="711">
        <v>1025422946.1600001</v>
      </c>
      <c r="D13" s="711">
        <v>13681846.75</v>
      </c>
      <c r="E13" s="711">
        <v>243630723.71000001</v>
      </c>
      <c r="F13" s="779">
        <v>0</v>
      </c>
      <c r="G13" s="711">
        <v>815137784.56999993</v>
      </c>
      <c r="H13" s="779">
        <v>0</v>
      </c>
      <c r="I13"/>
      <c r="J13"/>
      <c r="K13"/>
      <c r="L13"/>
      <c r="M13"/>
      <c r="N13"/>
      <c r="O13"/>
    </row>
    <row r="14" spans="1:16">
      <c r="A14" s="704">
        <f t="shared" si="0"/>
        <v>4</v>
      </c>
      <c r="B14" s="714" t="s">
        <v>742</v>
      </c>
      <c r="C14" s="711">
        <v>1031471920.4300003</v>
      </c>
      <c r="D14" s="711">
        <v>13810963.880000001</v>
      </c>
      <c r="E14" s="711">
        <v>246339311.40999997</v>
      </c>
      <c r="F14" s="779">
        <v>0</v>
      </c>
      <c r="G14" s="711">
        <v>816896641.6099999</v>
      </c>
      <c r="H14" s="779">
        <v>0</v>
      </c>
      <c r="I14"/>
      <c r="J14"/>
      <c r="K14"/>
      <c r="L14"/>
      <c r="M14"/>
      <c r="N14"/>
      <c r="O14"/>
    </row>
    <row r="15" spans="1:16">
      <c r="A15" s="704">
        <f t="shared" si="0"/>
        <v>5</v>
      </c>
      <c r="B15" s="714" t="s">
        <v>324</v>
      </c>
      <c r="C15" s="711">
        <v>1033392113.08</v>
      </c>
      <c r="D15" s="711">
        <v>13939853.82</v>
      </c>
      <c r="E15" s="711">
        <v>248105184.06000003</v>
      </c>
      <c r="F15" s="779">
        <v>0</v>
      </c>
      <c r="G15" s="711">
        <v>821723807.65000021</v>
      </c>
      <c r="H15" s="779">
        <v>0</v>
      </c>
      <c r="I15"/>
      <c r="J15"/>
      <c r="K15"/>
      <c r="L15"/>
      <c r="M15"/>
      <c r="N15"/>
      <c r="O15"/>
    </row>
    <row r="16" spans="1:16">
      <c r="A16" s="704">
        <f t="shared" si="0"/>
        <v>6</v>
      </c>
      <c r="B16" s="714" t="s">
        <v>325</v>
      </c>
      <c r="C16" s="711">
        <v>1039370432.9399998</v>
      </c>
      <c r="D16" s="711">
        <v>14068513.670000002</v>
      </c>
      <c r="E16" s="711">
        <v>247516684.03999999</v>
      </c>
      <c r="F16" s="779">
        <v>0</v>
      </c>
      <c r="G16" s="711">
        <v>823570229.85000014</v>
      </c>
      <c r="H16" s="779">
        <v>0</v>
      </c>
      <c r="I16"/>
      <c r="J16" s="2079"/>
      <c r="K16"/>
      <c r="L16"/>
      <c r="M16"/>
      <c r="N16"/>
      <c r="O16"/>
    </row>
    <row r="17" spans="1:16">
      <c r="A17" s="704">
        <f t="shared" si="0"/>
        <v>7</v>
      </c>
      <c r="B17" s="714" t="s">
        <v>48</v>
      </c>
      <c r="C17" s="711">
        <v>1044508908.3799999</v>
      </c>
      <c r="D17" s="711">
        <v>14196940.389999999</v>
      </c>
      <c r="E17" s="711">
        <v>250058317.53999999</v>
      </c>
      <c r="F17" s="779">
        <v>0</v>
      </c>
      <c r="G17" s="711">
        <v>825766818.94999981</v>
      </c>
      <c r="H17" s="779">
        <v>0</v>
      </c>
      <c r="I17"/>
      <c r="J17" s="2079"/>
      <c r="K17"/>
      <c r="L17"/>
      <c r="M17"/>
      <c r="N17"/>
      <c r="O17"/>
    </row>
    <row r="18" spans="1:16">
      <c r="A18" s="704">
        <f t="shared" si="0"/>
        <v>8</v>
      </c>
      <c r="B18" s="714" t="s">
        <v>326</v>
      </c>
      <c r="C18" s="711">
        <v>1049019637.8999999</v>
      </c>
      <c r="D18" s="711">
        <v>14548555.060000001</v>
      </c>
      <c r="E18" s="711">
        <v>251462514.08999997</v>
      </c>
      <c r="F18" s="779">
        <v>0</v>
      </c>
      <c r="G18" s="711">
        <v>827051189.98999977</v>
      </c>
      <c r="H18" s="779">
        <v>0</v>
      </c>
      <c r="I18"/>
      <c r="J18" s="2079"/>
      <c r="K18"/>
      <c r="L18"/>
      <c r="M18"/>
      <c r="N18"/>
      <c r="O18"/>
    </row>
    <row r="19" spans="1:16">
      <c r="A19" s="704">
        <f t="shared" si="0"/>
        <v>9</v>
      </c>
      <c r="B19" s="714" t="s">
        <v>743</v>
      </c>
      <c r="C19" s="711">
        <v>1053553694.1400002</v>
      </c>
      <c r="D19" s="711">
        <v>14892483.259999998</v>
      </c>
      <c r="E19" s="711">
        <v>252994061.56999996</v>
      </c>
      <c r="F19" s="779">
        <v>0</v>
      </c>
      <c r="G19" s="711">
        <v>828271106.56000018</v>
      </c>
      <c r="H19" s="779">
        <v>0</v>
      </c>
      <c r="I19"/>
      <c r="J19" s="2079"/>
      <c r="K19"/>
      <c r="L19"/>
      <c r="M19"/>
      <c r="N19"/>
      <c r="O19"/>
    </row>
    <row r="20" spans="1:16">
      <c r="A20" s="704">
        <f t="shared" si="0"/>
        <v>10</v>
      </c>
      <c r="B20" s="714" t="s">
        <v>329</v>
      </c>
      <c r="C20" s="711">
        <v>1058925757.4300002</v>
      </c>
      <c r="D20" s="711">
        <v>15230111.950000001</v>
      </c>
      <c r="E20" s="711">
        <v>254930027.65999997</v>
      </c>
      <c r="F20" s="779">
        <v>0</v>
      </c>
      <c r="G20" s="711">
        <v>829931004.46999967</v>
      </c>
      <c r="H20" s="779">
        <v>0</v>
      </c>
      <c r="I20"/>
      <c r="J20" s="2079"/>
      <c r="K20"/>
      <c r="L20"/>
      <c r="M20"/>
      <c r="N20"/>
      <c r="O20"/>
    </row>
    <row r="21" spans="1:16">
      <c r="A21" s="704">
        <f t="shared" si="0"/>
        <v>11</v>
      </c>
      <c r="B21" s="714" t="s">
        <v>516</v>
      </c>
      <c r="C21" s="711">
        <v>1063980420.6999996</v>
      </c>
      <c r="D21" s="711">
        <v>15561356.490000002</v>
      </c>
      <c r="E21" s="711">
        <v>254939798.40999997</v>
      </c>
      <c r="F21" s="779">
        <v>0</v>
      </c>
      <c r="G21" s="711">
        <v>831233027.01999986</v>
      </c>
      <c r="H21" s="779">
        <v>0</v>
      </c>
      <c r="I21"/>
      <c r="J21" s="2079"/>
      <c r="K21"/>
      <c r="L21"/>
      <c r="M21"/>
      <c r="N21"/>
      <c r="O21"/>
    </row>
    <row r="22" spans="1:16">
      <c r="A22" s="704">
        <f t="shared" si="0"/>
        <v>12</v>
      </c>
      <c r="B22" s="714" t="s">
        <v>517</v>
      </c>
      <c r="C22" s="711">
        <v>1067114103.9799998</v>
      </c>
      <c r="D22" s="711">
        <v>15886130.84</v>
      </c>
      <c r="E22" s="711">
        <v>254203193.84000003</v>
      </c>
      <c r="F22" s="779">
        <v>0</v>
      </c>
      <c r="G22" s="711">
        <v>833492082.23999965</v>
      </c>
      <c r="H22" s="779">
        <v>0</v>
      </c>
      <c r="I22"/>
      <c r="J22" s="2079"/>
      <c r="K22"/>
      <c r="L22"/>
      <c r="M22"/>
      <c r="N22"/>
      <c r="O22"/>
    </row>
    <row r="23" spans="1:16">
      <c r="A23" s="715">
        <f t="shared" si="0"/>
        <v>13</v>
      </c>
      <c r="B23" s="733" t="s">
        <v>744</v>
      </c>
      <c r="C23" s="711">
        <v>1071805889.4100001</v>
      </c>
      <c r="D23" s="711">
        <v>16204347.800000001</v>
      </c>
      <c r="E23" s="711">
        <v>254474495.14000005</v>
      </c>
      <c r="F23" s="779">
        <v>0</v>
      </c>
      <c r="G23" s="711">
        <v>831476192.58000016</v>
      </c>
      <c r="H23" s="779">
        <v>0</v>
      </c>
      <c r="I23"/>
      <c r="J23"/>
      <c r="K23"/>
      <c r="L23"/>
      <c r="M23"/>
      <c r="N23"/>
      <c r="O23"/>
    </row>
    <row r="24" spans="1:16" ht="13" thickBot="1">
      <c r="A24" s="717">
        <f t="shared" si="0"/>
        <v>14</v>
      </c>
      <c r="B24" s="1748" t="s">
        <v>1226</v>
      </c>
      <c r="C24" s="718">
        <f t="shared" ref="C24:H24" si="1">AVERAGE(C11:C23)</f>
        <v>1044373394.5684613</v>
      </c>
      <c r="D24" s="718">
        <f t="shared" si="1"/>
        <v>14538196.237692308</v>
      </c>
      <c r="E24" s="718">
        <f t="shared" si="1"/>
        <v>249171914.94153845</v>
      </c>
      <c r="F24" s="2104">
        <f t="shared" si="1"/>
        <v>0</v>
      </c>
      <c r="G24" s="718">
        <f t="shared" si="1"/>
        <v>823516353.97923064</v>
      </c>
      <c r="H24" s="2104">
        <f t="shared" si="1"/>
        <v>0</v>
      </c>
      <c r="I24"/>
      <c r="J24"/>
      <c r="K24"/>
      <c r="L24"/>
      <c r="M24"/>
      <c r="N24"/>
      <c r="O24"/>
    </row>
    <row r="25" spans="1:16" ht="13" thickTop="1">
      <c r="A25" s="692"/>
      <c r="B25" s="719" t="s">
        <v>1275</v>
      </c>
      <c r="C25" s="720"/>
      <c r="D25" s="720"/>
      <c r="E25" s="720"/>
      <c r="F25" s="721"/>
      <c r="G25" s="720"/>
      <c r="H25" s="721"/>
      <c r="I25"/>
      <c r="J25"/>
      <c r="K25"/>
      <c r="L25"/>
      <c r="M25"/>
      <c r="N25"/>
      <c r="O25"/>
    </row>
    <row r="26" spans="1:16" ht="14.25" customHeight="1">
      <c r="A26" s="692"/>
      <c r="B26" s="719"/>
      <c r="C26" s="720"/>
      <c r="D26" s="720"/>
      <c r="E26" s="720"/>
      <c r="F26" s="721"/>
      <c r="G26" s="720"/>
      <c r="H26" s="721"/>
      <c r="I26"/>
      <c r="J26"/>
      <c r="K26"/>
      <c r="L26"/>
      <c r="M26"/>
      <c r="N26"/>
      <c r="O26"/>
    </row>
    <row r="27" spans="1:16" ht="12.75" customHeight="1">
      <c r="A27" s="692"/>
      <c r="B27" s="695"/>
      <c r="C27" s="2281" t="s">
        <v>749</v>
      </c>
      <c r="D27" s="2282"/>
      <c r="E27" s="2282"/>
      <c r="F27" s="2282"/>
      <c r="G27" s="2283"/>
      <c r="H27" s="734"/>
      <c r="I27" s="734"/>
      <c r="J27"/>
      <c r="K27"/>
      <c r="L27"/>
      <c r="M27"/>
      <c r="N27"/>
      <c r="O27"/>
    </row>
    <row r="28" spans="1:16" s="703" customFormat="1" ht="29.25" customHeight="1">
      <c r="A28" s="698" t="s">
        <v>722</v>
      </c>
      <c r="B28" s="699" t="s">
        <v>705</v>
      </c>
      <c r="C28" s="701" t="s">
        <v>728</v>
      </c>
      <c r="D28" s="701" t="s">
        <v>729</v>
      </c>
      <c r="E28" s="701" t="s">
        <v>730</v>
      </c>
      <c r="F28" s="701" t="s">
        <v>751</v>
      </c>
      <c r="G28" s="702" t="s">
        <v>752</v>
      </c>
      <c r="J28"/>
      <c r="K28"/>
      <c r="L28"/>
      <c r="M28"/>
      <c r="N28"/>
      <c r="O28"/>
      <c r="P28" s="691"/>
    </row>
    <row r="29" spans="1:16" s="707" customFormat="1" ht="13">
      <c r="A29" s="704"/>
      <c r="B29" s="705" t="s">
        <v>731</v>
      </c>
      <c r="C29" s="697" t="s">
        <v>732</v>
      </c>
      <c r="D29" s="697" t="s">
        <v>733</v>
      </c>
      <c r="E29" s="697" t="s">
        <v>734</v>
      </c>
      <c r="F29" s="697" t="s">
        <v>735</v>
      </c>
      <c r="G29" s="697" t="s">
        <v>736</v>
      </c>
      <c r="J29"/>
      <c r="K29"/>
      <c r="L29"/>
      <c r="M29"/>
      <c r="N29"/>
      <c r="O29"/>
      <c r="P29" s="691"/>
    </row>
    <row r="30" spans="1:16" s="707" customFormat="1" ht="52.5" customHeight="1">
      <c r="A30" s="704"/>
      <c r="B30" s="705"/>
      <c r="C30" s="708" t="s">
        <v>132</v>
      </c>
      <c r="D30" s="708" t="s">
        <v>746</v>
      </c>
      <c r="E30" s="708" t="s">
        <v>182</v>
      </c>
      <c r="F30" s="708" t="s">
        <v>678</v>
      </c>
      <c r="G30" s="709" t="s">
        <v>678</v>
      </c>
      <c r="J30"/>
      <c r="K30"/>
      <c r="L30"/>
      <c r="M30"/>
      <c r="N30"/>
      <c r="O30"/>
      <c r="P30" s="691"/>
    </row>
    <row r="31" spans="1:16">
      <c r="A31" s="704">
        <f>+A24+1</f>
        <v>15</v>
      </c>
      <c r="B31" s="710" t="s">
        <v>741</v>
      </c>
      <c r="C31" s="2106">
        <v>60959101.879999988</v>
      </c>
      <c r="D31" s="2106">
        <v>505695.51</v>
      </c>
      <c r="E31" s="2106">
        <v>95083545</v>
      </c>
      <c r="F31" s="2106">
        <v>11260498</v>
      </c>
      <c r="G31" s="713">
        <v>23180662.050000001</v>
      </c>
      <c r="J31"/>
      <c r="K31"/>
      <c r="L31"/>
      <c r="M31"/>
      <c r="N31"/>
      <c r="O31"/>
    </row>
    <row r="32" spans="1:16">
      <c r="A32" s="704">
        <f>+A31+1</f>
        <v>16</v>
      </c>
      <c r="B32" s="710" t="s">
        <v>322</v>
      </c>
      <c r="C32" s="1799">
        <v>61873651.810000002</v>
      </c>
      <c r="D32" s="1799">
        <v>506969.93</v>
      </c>
      <c r="E32" s="1799">
        <v>96812102.700000003</v>
      </c>
      <c r="F32" s="1799">
        <v>11354374.949999999</v>
      </c>
      <c r="G32" s="713">
        <v>23640151.719999999</v>
      </c>
      <c r="H32" s="1803"/>
      <c r="J32"/>
      <c r="K32"/>
      <c r="L32"/>
      <c r="M32"/>
      <c r="N32"/>
      <c r="O32"/>
    </row>
    <row r="33" spans="1:15">
      <c r="A33" s="704">
        <f t="shared" ref="A33:A44" si="2">+A32+1</f>
        <v>17</v>
      </c>
      <c r="B33" s="714" t="s">
        <v>515</v>
      </c>
      <c r="C33" s="1799">
        <v>62843874.43</v>
      </c>
      <c r="D33" s="1799">
        <v>508244.43</v>
      </c>
      <c r="E33" s="1799">
        <v>98554661.840000018</v>
      </c>
      <c r="F33" s="1799">
        <v>11448251.5</v>
      </c>
      <c r="G33" s="713">
        <v>24085895.690000013</v>
      </c>
      <c r="H33" s="1803"/>
      <c r="J33"/>
      <c r="K33"/>
      <c r="L33"/>
      <c r="M33"/>
      <c r="N33"/>
      <c r="O33"/>
    </row>
    <row r="34" spans="1:15">
      <c r="A34" s="704">
        <f t="shared" si="2"/>
        <v>18</v>
      </c>
      <c r="B34" s="714" t="s">
        <v>742</v>
      </c>
      <c r="C34" s="1799">
        <v>63836815.840000004</v>
      </c>
      <c r="D34" s="1799">
        <v>509518.86</v>
      </c>
      <c r="E34" s="1799">
        <v>99051127.730000004</v>
      </c>
      <c r="F34" s="1799">
        <v>11542128.029999999</v>
      </c>
      <c r="G34" s="713">
        <v>24558127.780000009</v>
      </c>
      <c r="H34" s="1803"/>
      <c r="J34"/>
      <c r="K34"/>
      <c r="L34"/>
      <c r="M34"/>
      <c r="N34"/>
      <c r="O34"/>
    </row>
    <row r="35" spans="1:15">
      <c r="A35" s="704">
        <f t="shared" si="2"/>
        <v>19</v>
      </c>
      <c r="B35" s="714" t="s">
        <v>324</v>
      </c>
      <c r="C35" s="1799">
        <v>64669894.559999987</v>
      </c>
      <c r="D35" s="1799">
        <v>510793.37</v>
      </c>
      <c r="E35" s="1799">
        <v>100763415.47999999</v>
      </c>
      <c r="F35" s="1799">
        <v>11636004.58</v>
      </c>
      <c r="G35" s="713">
        <v>24673829.059999999</v>
      </c>
      <c r="H35" s="1803"/>
      <c r="J35"/>
      <c r="K35"/>
      <c r="L35"/>
      <c r="M35"/>
      <c r="N35"/>
      <c r="O35"/>
    </row>
    <row r="36" spans="1:15">
      <c r="A36" s="704">
        <f t="shared" si="2"/>
        <v>20</v>
      </c>
      <c r="B36" s="714" t="s">
        <v>325</v>
      </c>
      <c r="C36" s="1799">
        <v>65932855.310000002</v>
      </c>
      <c r="D36" s="1799">
        <v>512067.79</v>
      </c>
      <c r="E36" s="1799">
        <v>102482077.07999998</v>
      </c>
      <c r="F36" s="1799">
        <v>11729881.140000001</v>
      </c>
      <c r="G36" s="713">
        <v>24996336.600000009</v>
      </c>
      <c r="H36" s="1803"/>
      <c r="J36"/>
      <c r="K36"/>
      <c r="L36"/>
      <c r="M36"/>
      <c r="N36"/>
      <c r="O36"/>
    </row>
    <row r="37" spans="1:15">
      <c r="A37" s="704">
        <f t="shared" si="2"/>
        <v>21</v>
      </c>
      <c r="B37" s="714" t="s">
        <v>48</v>
      </c>
      <c r="C37" s="1799">
        <v>67027704.049999997</v>
      </c>
      <c r="D37" s="1799">
        <v>513342.22000000003</v>
      </c>
      <c r="E37" s="1799">
        <v>99814319.460000008</v>
      </c>
      <c r="F37" s="1799">
        <v>11823757.689999999</v>
      </c>
      <c r="G37" s="713">
        <v>25406489.870000008</v>
      </c>
      <c r="H37" s="1803"/>
      <c r="J37"/>
      <c r="K37"/>
      <c r="L37"/>
      <c r="M37"/>
      <c r="N37"/>
      <c r="O37"/>
    </row>
    <row r="38" spans="1:15">
      <c r="A38" s="704">
        <f t="shared" si="2"/>
        <v>22</v>
      </c>
      <c r="B38" s="714" t="s">
        <v>326</v>
      </c>
      <c r="C38" s="1799">
        <v>68067883.61999999</v>
      </c>
      <c r="D38" s="1799">
        <v>514616.73</v>
      </c>
      <c r="E38" s="1799">
        <v>101548255.98999998</v>
      </c>
      <c r="F38" s="1799">
        <v>11917634.25</v>
      </c>
      <c r="G38" s="713">
        <v>25602746.020000003</v>
      </c>
      <c r="H38" s="1803"/>
      <c r="J38"/>
      <c r="K38"/>
      <c r="L38"/>
      <c r="M38"/>
      <c r="N38"/>
      <c r="O38"/>
    </row>
    <row r="39" spans="1:15">
      <c r="A39" s="704">
        <f t="shared" si="2"/>
        <v>23</v>
      </c>
      <c r="B39" s="714" t="s">
        <v>743</v>
      </c>
      <c r="C39" s="1799">
        <v>69093453.36999999</v>
      </c>
      <c r="D39" s="1799">
        <v>515891.15</v>
      </c>
      <c r="E39" s="1799">
        <v>103291366.44000003</v>
      </c>
      <c r="F39" s="1799">
        <v>12011510.800000001</v>
      </c>
      <c r="G39" s="713">
        <v>25952120.250000011</v>
      </c>
      <c r="H39" s="1803"/>
      <c r="J39"/>
      <c r="K39"/>
      <c r="L39"/>
      <c r="M39"/>
      <c r="N39"/>
      <c r="O39"/>
    </row>
    <row r="40" spans="1:15">
      <c r="A40" s="704">
        <f t="shared" si="2"/>
        <v>24</v>
      </c>
      <c r="B40" s="714" t="s">
        <v>329</v>
      </c>
      <c r="C40" s="1799">
        <v>70138703.580000013</v>
      </c>
      <c r="D40" s="1799">
        <v>517165.65</v>
      </c>
      <c r="E40" s="1799">
        <v>104548537.35000001</v>
      </c>
      <c r="F40" s="1799">
        <v>12105419.619999999</v>
      </c>
      <c r="G40" s="713">
        <v>26379814.159999996</v>
      </c>
      <c r="H40" s="1803"/>
      <c r="J40"/>
      <c r="K40"/>
      <c r="L40"/>
      <c r="M40"/>
      <c r="N40"/>
      <c r="O40"/>
    </row>
    <row r="41" spans="1:15">
      <c r="A41" s="704">
        <f t="shared" si="2"/>
        <v>25</v>
      </c>
      <c r="B41" s="714" t="s">
        <v>516</v>
      </c>
      <c r="C41" s="1799">
        <v>67973501.839999989</v>
      </c>
      <c r="D41" s="1799">
        <v>518440.15</v>
      </c>
      <c r="E41" s="1799">
        <v>106304169.37000003</v>
      </c>
      <c r="F41" s="1799">
        <v>12199328.430000002</v>
      </c>
      <c r="G41" s="713">
        <v>26429432.139999989</v>
      </c>
      <c r="H41" s="1803"/>
      <c r="J41"/>
      <c r="K41"/>
      <c r="L41"/>
      <c r="M41"/>
      <c r="N41"/>
      <c r="O41"/>
    </row>
    <row r="42" spans="1:15">
      <c r="A42" s="704">
        <f t="shared" si="2"/>
        <v>26</v>
      </c>
      <c r="B42" s="714" t="s">
        <v>517</v>
      </c>
      <c r="C42" s="1799">
        <v>69292825.00000003</v>
      </c>
      <c r="D42" s="1799">
        <v>519714.58</v>
      </c>
      <c r="E42" s="1799">
        <v>108069811.34999999</v>
      </c>
      <c r="F42" s="1799">
        <v>12293237.25</v>
      </c>
      <c r="G42" s="713">
        <v>26390878.000000011</v>
      </c>
      <c r="J42"/>
      <c r="K42"/>
      <c r="L42"/>
      <c r="M42"/>
      <c r="N42"/>
      <c r="O42"/>
    </row>
    <row r="43" spans="1:15">
      <c r="A43" s="715">
        <f t="shared" si="2"/>
        <v>27</v>
      </c>
      <c r="B43" s="716" t="s">
        <v>744</v>
      </c>
      <c r="C43" s="2107">
        <v>70103681.429999992</v>
      </c>
      <c r="D43" s="2107">
        <v>520989.09</v>
      </c>
      <c r="E43" s="2107">
        <v>108432114.2</v>
      </c>
      <c r="F43" s="2107">
        <v>12387146.060000001</v>
      </c>
      <c r="G43" s="713">
        <v>26615209.980000004</v>
      </c>
      <c r="J43"/>
      <c r="K43"/>
      <c r="L43"/>
      <c r="M43"/>
      <c r="N43"/>
      <c r="O43"/>
    </row>
    <row r="44" spans="1:15" ht="13" thickBot="1">
      <c r="A44" s="717">
        <f t="shared" si="2"/>
        <v>28</v>
      </c>
      <c r="B44" s="1748" t="s">
        <v>1226</v>
      </c>
      <c r="C44" s="718">
        <f>AVERAGE(C31:C43)</f>
        <v>66293380.516923077</v>
      </c>
      <c r="D44" s="718">
        <f>AVERAGE(D31:D43)</f>
        <v>513342.26615384623</v>
      </c>
      <c r="E44" s="718">
        <f>AVERAGE(E31:E43)</f>
        <v>101904269.53769231</v>
      </c>
      <c r="F44" s="718">
        <f>AVERAGE(F31:F43)</f>
        <v>11823782.484615386</v>
      </c>
      <c r="G44" s="718">
        <f>AVERAGE(G31:G43)</f>
        <v>25223976.409230772</v>
      </c>
      <c r="J44"/>
      <c r="K44"/>
      <c r="L44"/>
      <c r="M44"/>
      <c r="N44"/>
      <c r="O44"/>
    </row>
    <row r="45" spans="1:15" ht="13" thickTop="1">
      <c r="A45" s="692"/>
      <c r="B45" s="719"/>
      <c r="C45" s="720"/>
      <c r="D45" s="720"/>
      <c r="E45" s="720"/>
      <c r="F45" s="721"/>
      <c r="G45" s="721"/>
      <c r="H45"/>
      <c r="I45"/>
      <c r="J45"/>
      <c r="K45"/>
      <c r="L45"/>
      <c r="M45"/>
      <c r="N45"/>
      <c r="O45"/>
    </row>
    <row r="46" spans="1:15" s="295" customFormat="1">
      <c r="A46" s="735">
        <f>+A44+1</f>
        <v>29</v>
      </c>
      <c r="B46" s="736" t="str">
        <f>"Transmission Accumulated,  net of GSU and Excluded- Ln "&amp;A24&amp;" Col "&amp;E9&amp;" less Ln "&amp;A44&amp;" Cols. "&amp;F29&amp;" &amp; "&amp;G29</f>
        <v>Transmission Accumulated,  net of GSU and Excluded- Ln 14 Col (d) less Ln 28 Cols. (e) &amp; (f)</v>
      </c>
      <c r="C46" s="737"/>
      <c r="D46" s="737"/>
      <c r="G46" s="738">
        <f>+E24-F44-G44</f>
        <v>212124156.0476923</v>
      </c>
      <c r="H46" s="739"/>
      <c r="I46" s="739"/>
      <c r="J46" s="739"/>
      <c r="K46" s="737"/>
      <c r="L46" s="737"/>
      <c r="M46" s="737"/>
      <c r="N46" s="740"/>
      <c r="O46" s="740"/>
    </row>
    <row r="47" spans="1:15">
      <c r="A47" s="692"/>
      <c r="B47" s="719"/>
      <c r="C47" s="720"/>
      <c r="D47" s="720"/>
      <c r="E47" s="720"/>
      <c r="F47" s="721"/>
      <c r="G47" s="721"/>
      <c r="H47" s="721"/>
      <c r="I47" s="721"/>
      <c r="J47" s="721"/>
      <c r="K47" s="720"/>
      <c r="L47" s="720"/>
      <c r="M47" s="720"/>
      <c r="N47" s="722"/>
      <c r="O47" s="722"/>
    </row>
    <row r="48" spans="1:15">
      <c r="A48" s="692"/>
      <c r="B48" s="719"/>
      <c r="C48" s="720"/>
      <c r="D48" s="720"/>
      <c r="E48" s="720"/>
      <c r="F48" s="721"/>
      <c r="G48" s="721"/>
      <c r="H48" s="721"/>
      <c r="I48" s="721"/>
      <c r="J48" s="721"/>
      <c r="K48" s="720"/>
      <c r="L48" s="720"/>
      <c r="M48" s="720"/>
      <c r="N48" s="722"/>
      <c r="O48" s="722"/>
    </row>
    <row r="49" spans="1:7">
      <c r="A49" s="691"/>
      <c r="G49" s="1803"/>
    </row>
    <row r="50" spans="1:7">
      <c r="A50" s="691"/>
    </row>
    <row r="52" spans="1:7">
      <c r="E52" s="691" t="s">
        <v>254</v>
      </c>
    </row>
  </sheetData>
  <mergeCells count="6">
    <mergeCell ref="C27:G27"/>
    <mergeCell ref="A2:H2"/>
    <mergeCell ref="A3:H3"/>
    <mergeCell ref="A4:H4"/>
    <mergeCell ref="A5:H5"/>
    <mergeCell ref="C7:H7"/>
  </mergeCells>
  <pageMargins left="0.7" right="0.7" top="0.75" bottom="0.75" header="0.3" footer="0.3"/>
  <pageSetup scale="57" orientation="portrait" cellComments="asDisplayed" r:id="rId1"/>
  <headerFooter>
    <oddHeader>&amp;RAEP - SPP Formula Rate
TCOS - WS A-2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pageSetUpPr fitToPage="1"/>
  </sheetPr>
  <dimension ref="A1:M19"/>
  <sheetViews>
    <sheetView zoomScaleNormal="100" workbookViewId="0">
      <selection activeCell="D9" sqref="D9"/>
    </sheetView>
  </sheetViews>
  <sheetFormatPr defaultColWidth="9.1796875" defaultRowHeight="12.5"/>
  <cols>
    <col min="1" max="1" width="9.1796875" style="12"/>
    <col min="2" max="3" width="27.54296875" style="12" customWidth="1"/>
    <col min="4" max="4" width="41.453125" style="12" customWidth="1"/>
    <col min="5" max="16384" width="9.1796875" style="12"/>
  </cols>
  <sheetData>
    <row r="1" spans="1:13" ht="15.5">
      <c r="A1" s="206"/>
    </row>
    <row r="2" spans="1:13" ht="15.5">
      <c r="A2" s="2284" t="str">
        <f>+'PSO TCOS'!F4</f>
        <v xml:space="preserve">AEP West SPP Member Operating Companies </v>
      </c>
      <c r="B2" s="2284"/>
      <c r="C2" s="2284"/>
      <c r="D2" s="2284"/>
      <c r="E2" s="18"/>
      <c r="F2" s="18"/>
      <c r="G2" s="18"/>
      <c r="H2" s="18"/>
      <c r="I2" s="18"/>
      <c r="J2" s="18"/>
      <c r="K2" s="18"/>
      <c r="L2" s="18"/>
      <c r="M2" s="18"/>
    </row>
    <row r="3" spans="1:13" ht="15.5">
      <c r="A3" s="2278" t="str">
        <f>+'PSO WS A-1 - Plant'!A3</f>
        <v xml:space="preserve">Actual / Projected 2024 Rate Year Cost of Service Formula Rate </v>
      </c>
      <c r="B3" s="2278"/>
      <c r="C3" s="2278"/>
      <c r="D3" s="2278"/>
      <c r="E3" s="114"/>
      <c r="F3" s="114"/>
      <c r="G3" s="114"/>
      <c r="H3" s="114"/>
      <c r="I3" s="114"/>
      <c r="J3" s="114"/>
      <c r="K3" s="114"/>
      <c r="L3" s="114"/>
      <c r="M3" s="114"/>
    </row>
    <row r="4" spans="1:13" ht="15.5">
      <c r="A4" s="2279" t="s">
        <v>651</v>
      </c>
      <c r="B4" s="2279"/>
      <c r="C4" s="2279"/>
      <c r="D4" s="2279"/>
      <c r="E4" s="114"/>
      <c r="F4" s="114"/>
      <c r="G4" s="114"/>
      <c r="H4" s="114"/>
      <c r="I4" s="114"/>
      <c r="J4" s="114"/>
      <c r="K4" s="114"/>
      <c r="L4" s="114"/>
      <c r="M4" s="114"/>
    </row>
    <row r="5" spans="1:13" ht="15.5">
      <c r="A5" s="2285" t="str">
        <f>+'PSO TCOS'!F8</f>
        <v>PUBLIC SERVICE COMPANY OF OKLAHOMA</v>
      </c>
      <c r="B5" s="2285"/>
      <c r="C5" s="2285"/>
      <c r="D5" s="2285"/>
      <c r="E5" s="741"/>
      <c r="F5" s="741"/>
      <c r="G5" s="741"/>
      <c r="H5" s="741"/>
      <c r="I5" s="741"/>
      <c r="J5" s="741"/>
      <c r="K5" s="741"/>
      <c r="L5" s="741"/>
      <c r="M5" s="741"/>
    </row>
    <row r="6" spans="1:13" ht="13">
      <c r="A6" s="742"/>
      <c r="B6" s="742"/>
      <c r="C6" s="742"/>
      <c r="D6" s="742"/>
    </row>
    <row r="7" spans="1:13" ht="14">
      <c r="A7" s="743" t="s">
        <v>527</v>
      </c>
      <c r="B7" s="744"/>
      <c r="C7" s="745" t="s">
        <v>345</v>
      </c>
      <c r="D7" s="746" t="s">
        <v>309</v>
      </c>
    </row>
    <row r="8" spans="1:13" ht="14">
      <c r="A8" s="747"/>
      <c r="B8" s="748"/>
      <c r="C8" s="749"/>
      <c r="D8" s="749"/>
    </row>
    <row r="9" spans="1:13" ht="14">
      <c r="A9" s="750">
        <v>1</v>
      </c>
      <c r="B9" s="751" t="s">
        <v>529</v>
      </c>
      <c r="C9" s="752"/>
      <c r="D9" s="779">
        <v>0</v>
      </c>
    </row>
    <row r="10" spans="1:13" ht="14">
      <c r="A10" s="752"/>
      <c r="B10" s="752"/>
      <c r="C10" s="752"/>
      <c r="D10" s="752"/>
    </row>
    <row r="11" spans="1:13" ht="14">
      <c r="A11" s="752"/>
      <c r="B11" s="752"/>
      <c r="C11" s="752"/>
      <c r="D11" s="752"/>
    </row>
    <row r="12" spans="1:13" ht="119.25" customHeight="1">
      <c r="A12" s="753" t="s">
        <v>528</v>
      </c>
      <c r="B12" s="2286" t="s">
        <v>646</v>
      </c>
      <c r="C12" s="2286"/>
      <c r="D12" s="2286"/>
    </row>
    <row r="13" spans="1:13" ht="14">
      <c r="A13" s="752"/>
      <c r="B13" s="752"/>
      <c r="C13" s="752"/>
      <c r="D13" s="752"/>
    </row>
    <row r="14" spans="1:13" ht="14">
      <c r="A14" s="752"/>
      <c r="B14" s="752"/>
      <c r="C14" s="752"/>
      <c r="D14" s="752"/>
    </row>
    <row r="15" spans="1:13" ht="14">
      <c r="A15" s="752"/>
      <c r="B15" s="752"/>
      <c r="C15" s="752"/>
      <c r="D15" s="752"/>
    </row>
    <row r="16" spans="1:13" ht="14">
      <c r="A16" s="753"/>
      <c r="B16" s="754"/>
      <c r="C16" s="752"/>
      <c r="D16" s="752"/>
    </row>
    <row r="17" spans="1:2" ht="15" customHeight="1">
      <c r="A17" s="752"/>
    </row>
    <row r="18" spans="1:2" ht="15.5">
      <c r="B18" s="755"/>
    </row>
    <row r="19" spans="1:2" ht="15.5">
      <c r="B19" s="755"/>
    </row>
  </sheetData>
  <mergeCells count="5">
    <mergeCell ref="A2:D2"/>
    <mergeCell ref="A3:D3"/>
    <mergeCell ref="A4:D4"/>
    <mergeCell ref="A5:D5"/>
    <mergeCell ref="B12:D12"/>
  </mergeCells>
  <pageMargins left="0.7" right="0.7" top="0.75" bottom="0.75" header="0.3" footer="0.3"/>
  <pageSetup scale="87" fitToHeight="0" orientation="portrait" r:id="rId1"/>
  <headerFooter>
    <oddHeader xml:space="preserve">&amp;RAEP - SPP Formula Rate
TCOS - WS B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zQ5MDE2PC9Vc2VyTmFtZT48RGF0ZVRpbWU+My8yMi8yMDIyIDY6MzA6MTk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zQ5MDE2PC9Vc2VyTmFtZT48RGF0ZVRpbWU+NS81LzIwMjIgNzowODo1NyBQTTwvRGF0ZVRpbWU+PExhYmVsU3RyaW5nPkFFUCBJbnRlcm5hbDwvTGFiZWxTdHJpbmc+PC9pdGVtPjwvbGFiZWxIaXN0b3J5Pg==</Value>
</WrappedLabelHistory>
</file>

<file path=customXml/item3.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92219f9aa835c367bdfd1148dd32e3df">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fa81949b18d78c9c4e29a9e6a63cfcc4"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02C9F91C-C587-4FDF-9A5E-C6E915EC94FC}">
  <ds:schemaRefs>
    <ds:schemaRef ds:uri="http://schemas.microsoft.com/office/2006/metadata/properties"/>
    <ds:schemaRef ds:uri="http://schemas.microsoft.com/office/infopath/2007/PartnerControls"/>
    <ds:schemaRef ds:uri="6a06342d-ce85-4729-8251-347f0ba4f840"/>
    <ds:schemaRef ds:uri="b6888f76-1100-40b0-929b-1efe9044426d"/>
  </ds:schemaRefs>
</ds:datastoreItem>
</file>

<file path=customXml/itemProps2.xml><?xml version="1.0" encoding="utf-8"?>
<ds:datastoreItem xmlns:ds="http://schemas.openxmlformats.org/officeDocument/2006/customXml" ds:itemID="{A84366C3-5D69-48E1-BFA6-C268098E032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1D50E350-C04B-42A2-A2A5-DBBF665B1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F704970-385A-464C-80D8-6A13441EE70E}">
  <ds:schemaRefs>
    <ds:schemaRef ds:uri="http://schemas.microsoft.com/sharepoint/v3/contenttype/forms"/>
  </ds:schemaRefs>
</ds:datastoreItem>
</file>

<file path=customXml/itemProps5.xml><?xml version="1.0" encoding="utf-8"?>
<ds:datastoreItem xmlns:ds="http://schemas.openxmlformats.org/officeDocument/2006/customXml" ds:itemID="{BAA98A4B-A9F6-47B3-BA22-88FF6A6691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14</vt:i4>
      </vt:variant>
    </vt:vector>
  </HeadingPairs>
  <TitlesOfParts>
    <vt:vector size="76" baseType="lpstr">
      <vt:lpstr>Zonal Rates</vt:lpstr>
      <vt:lpstr>Sch 1 Rates</vt:lpstr>
      <vt:lpstr>PSO Sch 11 Rates</vt:lpstr>
      <vt:lpstr>SWE Sch 11 Rates</vt:lpstr>
      <vt:lpstr>Load WS</vt:lpstr>
      <vt:lpstr>PSO TCOS</vt:lpstr>
      <vt:lpstr>PSO WS A-1 - Plant</vt:lpstr>
      <vt:lpstr>PSO WS A-2 Accumulated Depn</vt:lpstr>
      <vt:lpstr>PSO WS B - Facility credits</vt:lpstr>
      <vt:lpstr>PSO WS C ADIT &amp; ADITC</vt:lpstr>
      <vt:lpstr>PSO WS C-1 ADIT EOY</vt:lpstr>
      <vt:lpstr>PSO WS C-2 ADIT BOY</vt:lpstr>
      <vt:lpstr>PSO WS C-3 ADIT Proration</vt:lpstr>
      <vt:lpstr>PSO WS C-4 Excess FIT</vt:lpstr>
      <vt:lpstr>PSO WS C-5 EXCESS ADIT</vt:lpstr>
      <vt:lpstr>PSO WS C-5-A </vt:lpstr>
      <vt:lpstr>PSO WS C-5-B</vt:lpstr>
      <vt:lpstr>PSO WS D Working Capital</vt:lpstr>
      <vt:lpstr>PSO WS E IPP Credits</vt:lpstr>
      <vt:lpstr>PSO WS F BPU ATRR</vt:lpstr>
      <vt:lpstr>PSO WS G BPU ATRR</vt:lpstr>
      <vt:lpstr>PSO WS H Rev Credits</vt:lpstr>
      <vt:lpstr>PSO WS I Exp Adj</vt:lpstr>
      <vt:lpstr>PSO WS J Misc Exp</vt:lpstr>
      <vt:lpstr>PSO WS K State Taxes</vt:lpstr>
      <vt:lpstr>PSO WS L Other Taxes</vt:lpstr>
      <vt:lpstr>PSO WS M - Cost of Capital</vt:lpstr>
      <vt:lpstr>PSO WS N Sch 11 TU</vt:lpstr>
      <vt:lpstr>PSO WS O Sch 9 NITS TU</vt:lpstr>
      <vt:lpstr>PSO WS P Sch 1 NITS TU</vt:lpstr>
      <vt:lpstr>PSO WS Q Interest Rate</vt:lpstr>
      <vt:lpstr>PSO WS R Unfunded Reserves</vt:lpstr>
      <vt:lpstr>PSO WS S Reg Assets</vt:lpstr>
      <vt:lpstr>PSO WS T - Dep Rates</vt:lpstr>
      <vt:lpstr>SWEPCO TCOS</vt:lpstr>
      <vt:lpstr>SWEPCO WS A-1 - Plant</vt:lpstr>
      <vt:lpstr>SWEPCO WS A-2 Accumulated Depn</vt:lpstr>
      <vt:lpstr>SWEPCO WS B - Facility credits</vt:lpstr>
      <vt:lpstr>SWEPCO WS C ADIT &amp; ADITC</vt:lpstr>
      <vt:lpstr>SWEPCO WS C-1 ADIT EOY</vt:lpstr>
      <vt:lpstr>SWEPCO WS C-2 ADIT BOY</vt:lpstr>
      <vt:lpstr>SWEPCO WS C-3 ADIT Proration</vt:lpstr>
      <vt:lpstr>SWEPCO WS C-4 Excess FIT</vt:lpstr>
      <vt:lpstr>SWEPCO WS C-5-A</vt:lpstr>
      <vt:lpstr>SWEPCO WS C-5 EXCESS ADIT</vt:lpstr>
      <vt:lpstr>SWEPCO WS D Working Capital</vt:lpstr>
      <vt:lpstr>SWEPCO WS E IPP Credits</vt:lpstr>
      <vt:lpstr>SWEPCO WS F BPU ATRR</vt:lpstr>
      <vt:lpstr>SWEPCO WS G BPU ATRR</vt:lpstr>
      <vt:lpstr>SWEPCO WS H Rev Credits</vt:lpstr>
      <vt:lpstr>SWEPCO WS I Exp Adj</vt:lpstr>
      <vt:lpstr>SWEPCO WS J Misc Exp</vt:lpstr>
      <vt:lpstr>SWEPCO WS K State Taxes</vt:lpstr>
      <vt:lpstr>SWEPCO WS L Other Taxes</vt:lpstr>
      <vt:lpstr>SWEPCO WS M - Cost of Capital</vt:lpstr>
      <vt:lpstr>SWEPCO WS N Sch 11 TU</vt:lpstr>
      <vt:lpstr>SWEPCO WS O Sch 9 NITS TU</vt:lpstr>
      <vt:lpstr>SWEPCO WS P Sch 1 NITS TU</vt:lpstr>
      <vt:lpstr>SWEPCO WS Q Interest Rate</vt:lpstr>
      <vt:lpstr>SWEPCO WS R Unfunded Reserves</vt:lpstr>
      <vt:lpstr>SWEPCO WS S Reg Assets</vt:lpstr>
      <vt:lpstr>SWEPCO WS T - Dep Rates</vt:lpstr>
      <vt:lpstr>'PSO Sch 11 Rates'!Print_Area</vt:lpstr>
      <vt:lpstr>'PSO WS C-4 Excess FIT'!Print_Area</vt:lpstr>
      <vt:lpstr>'PSO WS C-5 EXCESS ADIT'!Print_Area</vt:lpstr>
      <vt:lpstr>'PSO WS F BPU ATRR'!Print_Area</vt:lpstr>
      <vt:lpstr>'PSO WS G BPU ATRR'!Print_Area</vt:lpstr>
      <vt:lpstr>'PSO WS M - Cost of Capital'!Print_Area</vt:lpstr>
      <vt:lpstr>'SWE Sch 11 Rates'!Print_Area</vt:lpstr>
      <vt:lpstr>'SWEPCO WS C-5 EXCESS ADIT'!Print_Area</vt:lpstr>
      <vt:lpstr>'SWEPCO WS F BPU ATRR'!Print_Area</vt:lpstr>
      <vt:lpstr>'SWEPCO WS G BPU ATRR'!Print_Area</vt:lpstr>
      <vt:lpstr>'PSO Sch 11 Rates'!Print_Titles</vt:lpstr>
      <vt:lpstr>'PSO WS C-5 EXCESS ADIT'!Print_Titles</vt:lpstr>
      <vt:lpstr>'SWE Sch 11 Rates'!Print_Titles</vt:lpstr>
      <vt:lpstr>'SWEPCO WS C-5 EXCESS ADIT'!Print_Titles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2018-11-06T21:14:34Z</dcterms:created>
  <dcterms:modified xsi:type="dcterms:W3CDTF">2025-10-30T18:36:11Z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41993ab3-ceed-410c-8552-430b7396befb</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LabelHistoryID">
    <vt:lpwstr>{A84366C3-5D69-48E1-BFA6-C268098E0321}</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y fmtid="{D5CDD505-2E9C-101B-9397-08002B2CF9AE}" pid="13" name="ContentTypeId">
    <vt:lpwstr>0x0101002649C77599AAFD4B8FFD850D55630F3C</vt:lpwstr>
  </property>
  <property fmtid="{D5CDD505-2E9C-101B-9397-08002B2CF9AE}" pid="14" name="MediaServiceImageTags">
    <vt:lpwstr/>
  </property>
</Properties>
</file>